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Disinfectant Analysi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<sst xmlns="http://schemas.openxmlformats.org/spreadsheetml/2006/main" count="246" uniqueCount="67">
  <si>
    <t>Town of :</t>
  </si>
  <si>
    <t>HYPOCHLORITE - Projected Cash Flow vs Gas</t>
  </si>
  <si>
    <t>Annual Inflation Rate:</t>
  </si>
  <si>
    <t>Annual Interest Rate:</t>
  </si>
  <si>
    <t>Annual Consumption Growth Rate:</t>
  </si>
  <si>
    <t>Average Flow Rate:</t>
  </si>
  <si>
    <t>I/S</t>
  </si>
  <si>
    <t>Dosage:</t>
  </si>
  <si>
    <t>mg/l</t>
  </si>
  <si>
    <t>Capital Cost:</t>
  </si>
  <si>
    <t>Cost of Chlorine Ist Year</t>
  </si>
  <si>
    <t>Maintenance Cost 1st Year</t>
  </si>
  <si>
    <t>Consumption CM</t>
  </si>
  <si>
    <t>Capital</t>
  </si>
  <si>
    <t>Consumption</t>
  </si>
  <si>
    <t>Cost per</t>
  </si>
  <si>
    <t>Year</t>
  </si>
  <si>
    <t>Cost</t>
  </si>
  <si>
    <t>Chlorine</t>
  </si>
  <si>
    <t>Maintenance</t>
  </si>
  <si>
    <t>Total</t>
  </si>
  <si>
    <t>CM</t>
  </si>
  <si>
    <t>PW</t>
  </si>
  <si>
    <t>Total PW</t>
  </si>
  <si>
    <t>Equivalent Annual Cost</t>
  </si>
  <si>
    <t>Ave Cost Per Cubic Meter</t>
  </si>
  <si>
    <t>Ave Cost per 1000 Imp Gal</t>
  </si>
  <si>
    <t>Note:</t>
  </si>
  <si>
    <t>1. Capital costs include building,electrical,mechancial &amp; Chlorination costs.</t>
  </si>
  <si>
    <t>2. Costs which are the same for both gas &amp; sodium hypochlorite systems are not considered</t>
  </si>
  <si>
    <t xml:space="preserve">    (i.e. power supply costs, building heating costs).</t>
  </si>
  <si>
    <t>Chlorine Gas - Projected Cash Flow VS Hypochlorite</t>
  </si>
  <si>
    <t>L/S</t>
  </si>
  <si>
    <t>Increase by 25 %</t>
  </si>
  <si>
    <t>Decrease by 25 %</t>
  </si>
  <si>
    <t>Commencement Year:</t>
  </si>
  <si>
    <t>AnyTown</t>
  </si>
  <si>
    <t>Change in Dosage</t>
  </si>
  <si>
    <t>`</t>
  </si>
  <si>
    <t xml:space="preserve"> </t>
  </si>
  <si>
    <t>SENSITIVITY ANALYSIS</t>
  </si>
  <si>
    <t>CHANGE IN PRESENT WORTH</t>
  </si>
  <si>
    <t>Variable</t>
  </si>
  <si>
    <t>Gas</t>
  </si>
  <si>
    <t>Hypochrorite</t>
  </si>
  <si>
    <t>+25%</t>
  </si>
  <si>
    <t>0%</t>
  </si>
  <si>
    <t>-25%</t>
  </si>
  <si>
    <t>Capital Cost</t>
  </si>
  <si>
    <t>Dosage</t>
  </si>
  <si>
    <t>Average Flow Rate</t>
  </si>
  <si>
    <t>Consumption Growth Rate</t>
  </si>
  <si>
    <t>Interest Rate</t>
  </si>
  <si>
    <t>Inflation Rate</t>
  </si>
  <si>
    <t>% CHANGE IN PRESENT WORTH</t>
  </si>
  <si>
    <t>OBSERVATIONS:</t>
  </si>
  <si>
    <t>TOWN OF:</t>
  </si>
  <si>
    <t>Page 1</t>
  </si>
  <si>
    <t>Page 2</t>
  </si>
  <si>
    <t xml:space="preserve">Chlorine Gas </t>
  </si>
  <si>
    <t>Cost of Chlorine per litre</t>
  </si>
  <si>
    <t>Concentration of Liquid Chlorine</t>
  </si>
  <si>
    <t>Rate of return</t>
  </si>
  <si>
    <t>Cost of Chlorine  per lb</t>
  </si>
  <si>
    <t>Hypochlorite Liquid</t>
  </si>
  <si>
    <t>Any Town</t>
  </si>
  <si>
    <t>1. Capital costs include building, electrical, mechancial &amp; Chlorination costs.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</si>
</sst>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_(&quot;$&quot;* #,##0_);_(&quot;$&quot;* \(#,##0\);_(&quot;$&quot;* &quot;-&quot;??_);_(@_)"/>
    <numFmt numFmtId="168" formatCode="_(* #,##0_);_(* \(#,##0\);_(* &quot;-&quot;???_);_(@_)"/>
    <numFmt numFmtId="169" formatCode="_(* #,##0_);_(* \(#,##0\);_(* &quot;-&quot;????_);_(@_)"/>
    <numFmt numFmtId="170" formatCode="#,##0.000"/>
    <numFmt numFmtId="171" formatCode="&quot;$&quot;#,##0"/>
    <numFmt numFmtId="172" formatCode="0.000"/>
    <numFmt numFmtId="173" formatCode="_(* #,##0.0_);_(* \(#,##0.0\);_(* &quot;-&quot;?_);_(@_)"/>
    <numFmt numFmtId="174" formatCode="_(* #,##0.000_);_(* \(#,##0.000\);_(* &quot;-&quot;???_);_(@_)"/>
    <numFmt numFmtId="175" formatCode="&quot;$&quot;#,##0.0000_);[Red]\(&quot;$&quot;#,##0.0000\)"/>
    <numFmt numFmtId="176" formatCode="&quot;$&quot;#,##0.000_);[Red]\(&quot;$&quot;#,##0.000\)"/>
    <numFmt numFmtId="177" formatCode="&quot;$&quot;#,##0.00"/>
    <numFmt numFmtId="178" formatCode=";;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19" applyNumberFormat="1" applyAlignment="1">
      <alignment/>
    </xf>
    <xf numFmtId="165" fontId="0" fillId="0" borderId="0" xfId="15" applyNumberFormat="1" applyAlignment="1">
      <alignment/>
    </xf>
    <xf numFmtId="166" fontId="0" fillId="0" borderId="0" xfId="19" applyNumberFormat="1" applyAlignment="1">
      <alignment/>
    </xf>
    <xf numFmtId="166" fontId="0" fillId="0" borderId="0" xfId="19" applyNumberFormat="1" applyFont="1" applyAlignment="1">
      <alignment/>
    </xf>
    <xf numFmtId="167" fontId="0" fillId="0" borderId="0" xfId="17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171" fontId="3" fillId="0" borderId="0" xfId="19" applyNumberFormat="1" applyFont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6" fontId="0" fillId="0" borderId="7" xfId="0" applyNumberFormat="1" applyBorder="1" applyAlignment="1">
      <alignment/>
    </xf>
    <xf numFmtId="6" fontId="0" fillId="0" borderId="0" xfId="0" applyNumberFormat="1" applyBorder="1" applyAlignment="1">
      <alignment/>
    </xf>
    <xf numFmtId="6" fontId="0" fillId="0" borderId="4" xfId="0" applyNumberFormat="1" applyBorder="1" applyAlignment="1">
      <alignment/>
    </xf>
    <xf numFmtId="6" fontId="0" fillId="0" borderId="1" xfId="0" applyNumberFormat="1" applyBorder="1" applyAlignment="1">
      <alignment/>
    </xf>
    <xf numFmtId="6" fontId="0" fillId="0" borderId="8" xfId="0" applyNumberFormat="1" applyBorder="1" applyAlignment="1">
      <alignment/>
    </xf>
    <xf numFmtId="6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10" fontId="0" fillId="0" borderId="0" xfId="19" applyNumberFormat="1" applyAlignment="1">
      <alignment/>
    </xf>
    <xf numFmtId="10" fontId="0" fillId="0" borderId="8" xfId="19" applyNumberFormat="1" applyBorder="1" applyAlignment="1">
      <alignment/>
    </xf>
    <xf numFmtId="10" fontId="0" fillId="0" borderId="1" xfId="19" applyNumberFormat="1" applyBorder="1" applyAlignment="1">
      <alignment/>
    </xf>
    <xf numFmtId="10" fontId="0" fillId="0" borderId="4" xfId="19" applyNumberFormat="1" applyBorder="1" applyAlignment="1">
      <alignment/>
    </xf>
    <xf numFmtId="10" fontId="0" fillId="0" borderId="3" xfId="19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78" fontId="0" fillId="0" borderId="0" xfId="15" applyNumberFormat="1" applyAlignment="1">
      <alignment/>
    </xf>
    <xf numFmtId="0" fontId="4" fillId="0" borderId="0" xfId="0" applyFont="1" applyAlignment="1" applyProtection="1">
      <alignment/>
      <protection locked="0"/>
    </xf>
    <xf numFmtId="164" fontId="4" fillId="0" borderId="0" xfId="19" applyNumberFormat="1" applyFont="1" applyAlignment="1" applyProtection="1">
      <alignment/>
      <protection locked="0"/>
    </xf>
    <xf numFmtId="166" fontId="4" fillId="0" borderId="0" xfId="19" applyNumberFormat="1" applyFont="1" applyAlignment="1" applyProtection="1">
      <alignment/>
      <protection locked="0"/>
    </xf>
    <xf numFmtId="167" fontId="4" fillId="0" borderId="0" xfId="17" applyNumberFormat="1" applyFont="1" applyAlignment="1" applyProtection="1">
      <alignment/>
      <protection locked="0"/>
    </xf>
    <xf numFmtId="177" fontId="4" fillId="0" borderId="0" xfId="15" applyNumberFormat="1" applyFont="1" applyAlignment="1" applyProtection="1">
      <alignment/>
      <protection locked="0"/>
    </xf>
    <xf numFmtId="10" fontId="4" fillId="0" borderId="0" xfId="19" applyNumberFormat="1" applyFont="1" applyAlignment="1" applyProtection="1">
      <alignment/>
      <protection locked="0"/>
    </xf>
    <xf numFmtId="165" fontId="4" fillId="0" borderId="0" xfId="15" applyNumberFormat="1" applyFont="1" applyAlignment="1" applyProtection="1">
      <alignment/>
      <protection locked="0"/>
    </xf>
    <xf numFmtId="164" fontId="4" fillId="0" borderId="0" xfId="19" applyNumberFormat="1" applyFont="1" applyAlignment="1" applyProtection="1">
      <alignment/>
      <protection/>
    </xf>
    <xf numFmtId="2" fontId="4" fillId="0" borderId="0" xfId="19" applyNumberFormat="1" applyFont="1" applyAlignment="1" applyProtection="1">
      <alignment/>
      <protection locked="0"/>
    </xf>
    <xf numFmtId="171" fontId="4" fillId="0" borderId="0" xfId="19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2"/>
  <sheetViews>
    <sheetView tabSelected="1" workbookViewId="0" topLeftCell="A1">
      <selection activeCell="A1" sqref="A1"/>
    </sheetView>
  </sheetViews>
  <sheetFormatPr defaultColWidth="9.140625" defaultRowHeight="12.75"/>
  <cols>
    <col min="2" max="7" width="12.7109375" style="0" customWidth="1"/>
    <col min="9" max="15" width="12.7109375" style="0" customWidth="1"/>
  </cols>
  <sheetData>
    <row r="2" spans="1:10" ht="15">
      <c r="A2" t="s">
        <v>0</v>
      </c>
      <c r="B2" s="55" t="s">
        <v>65</v>
      </c>
      <c r="I2" t="s">
        <v>0</v>
      </c>
      <c r="J2" s="56" t="str">
        <f>B2</f>
        <v>Any Town</v>
      </c>
    </row>
    <row r="3" spans="2:10" ht="12.75">
      <c r="B3" s="41"/>
      <c r="J3" s="17"/>
    </row>
    <row r="4" spans="1:9" ht="15">
      <c r="A4" s="54" t="s">
        <v>64</v>
      </c>
      <c r="I4" s="54" t="s">
        <v>59</v>
      </c>
    </row>
    <row r="5" spans="1:9" ht="12.75">
      <c r="A5" s="17"/>
      <c r="E5" s="42"/>
      <c r="I5" s="17"/>
    </row>
    <row r="6" spans="1:4" ht="12.75">
      <c r="A6" t="s">
        <v>35</v>
      </c>
      <c r="D6" s="44">
        <v>2005</v>
      </c>
    </row>
    <row r="7" spans="1:12" ht="12.75">
      <c r="A7" t="s">
        <v>2</v>
      </c>
      <c r="D7" s="45">
        <v>0.01</v>
      </c>
      <c r="I7" t="s">
        <v>2</v>
      </c>
      <c r="L7" s="45">
        <f>D7</f>
        <v>0.01</v>
      </c>
    </row>
    <row r="8" spans="1:13" ht="12.75">
      <c r="A8" t="s">
        <v>62</v>
      </c>
      <c r="D8" s="45">
        <v>0.05</v>
      </c>
      <c r="E8" s="1"/>
      <c r="I8" t="s">
        <v>62</v>
      </c>
      <c r="L8" s="51">
        <f>D8</f>
        <v>0.05</v>
      </c>
      <c r="M8" s="1"/>
    </row>
    <row r="9" spans="1:14" ht="12.75">
      <c r="A9" t="s">
        <v>3</v>
      </c>
      <c r="D9" s="45">
        <v>0.1</v>
      </c>
      <c r="E9" s="1"/>
      <c r="F9" s="43">
        <f>D13*(D9/1)*(1+D9/1)^(10*1)/((1+D9/1)^(10*1)-1)</f>
        <v>16925.5210677812</v>
      </c>
      <c r="I9" t="s">
        <v>3</v>
      </c>
      <c r="L9" s="51">
        <f>D9</f>
        <v>0.1</v>
      </c>
      <c r="M9" s="1"/>
      <c r="N9" s="43">
        <f>L13*(L9/1)*(1+L9/1)^(10*1)/((1+L9/1)^(10*1)-1)</f>
        <v>35153.00529462249</v>
      </c>
    </row>
    <row r="10" spans="1:13" ht="12.75">
      <c r="A10" t="s">
        <v>4</v>
      </c>
      <c r="D10" s="45">
        <v>0.015</v>
      </c>
      <c r="E10" s="1"/>
      <c r="I10" t="s">
        <v>4</v>
      </c>
      <c r="L10" s="51">
        <f>D10</f>
        <v>0.015</v>
      </c>
      <c r="M10" s="1"/>
    </row>
    <row r="11" spans="1:13" ht="12.75">
      <c r="A11" t="s">
        <v>5</v>
      </c>
      <c r="D11" s="52">
        <v>2.5</v>
      </c>
      <c r="E11" t="s">
        <v>32</v>
      </c>
      <c r="H11" t="s">
        <v>38</v>
      </c>
      <c r="I11" t="s">
        <v>5</v>
      </c>
      <c r="L11" s="52">
        <v>2.5</v>
      </c>
      <c r="M11" t="s">
        <v>32</v>
      </c>
    </row>
    <row r="12" spans="1:13" ht="12.75">
      <c r="A12" t="s">
        <v>7</v>
      </c>
      <c r="D12" s="46">
        <v>5</v>
      </c>
      <c r="E12" t="s">
        <v>8</v>
      </c>
      <c r="F12" s="9"/>
      <c r="I12" t="s">
        <v>7</v>
      </c>
      <c r="L12" s="46">
        <v>5</v>
      </c>
      <c r="M12" t="s">
        <v>8</v>
      </c>
    </row>
    <row r="13" spans="1:13" ht="12.75">
      <c r="A13" t="s">
        <v>9</v>
      </c>
      <c r="D13" s="47">
        <v>104000</v>
      </c>
      <c r="E13" s="5"/>
      <c r="I13" t="s">
        <v>9</v>
      </c>
      <c r="L13" s="47">
        <v>216000</v>
      </c>
      <c r="M13" s="5"/>
    </row>
    <row r="14" spans="1:12" ht="12.75">
      <c r="A14" t="s">
        <v>60</v>
      </c>
      <c r="D14" s="48">
        <v>1.24</v>
      </c>
      <c r="I14" t="s">
        <v>63</v>
      </c>
      <c r="L14" s="48">
        <v>1</v>
      </c>
    </row>
    <row r="15" spans="1:12" ht="12.75">
      <c r="A15" t="s">
        <v>61</v>
      </c>
      <c r="D15" s="49">
        <v>0.105</v>
      </c>
      <c r="L15" s="50"/>
    </row>
    <row r="16" spans="1:12" ht="12.75">
      <c r="A16" t="s">
        <v>11</v>
      </c>
      <c r="D16" s="50">
        <v>2340</v>
      </c>
      <c r="I16" t="s">
        <v>11</v>
      </c>
      <c r="L16" s="50">
        <v>1740</v>
      </c>
    </row>
    <row r="17" spans="1:15" ht="12.75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 t="s">
        <v>13</v>
      </c>
      <c r="C18" s="6"/>
      <c r="D18" s="6"/>
      <c r="E18" s="6"/>
      <c r="F18" s="6" t="s">
        <v>14</v>
      </c>
      <c r="G18" s="6" t="s">
        <v>15</v>
      </c>
      <c r="I18" s="6"/>
      <c r="J18" s="6" t="s">
        <v>13</v>
      </c>
      <c r="K18" s="6"/>
      <c r="L18" s="6"/>
      <c r="M18" s="6"/>
      <c r="N18" s="6" t="s">
        <v>14</v>
      </c>
      <c r="O18" s="6" t="s">
        <v>15</v>
      </c>
    </row>
    <row r="19" spans="1:15" ht="12.75">
      <c r="A19" s="6" t="s">
        <v>16</v>
      </c>
      <c r="B19" s="6" t="s">
        <v>17</v>
      </c>
      <c r="C19" s="6" t="s">
        <v>18</v>
      </c>
      <c r="D19" s="6" t="s">
        <v>19</v>
      </c>
      <c r="E19" s="6" t="s">
        <v>20</v>
      </c>
      <c r="F19" s="6" t="s">
        <v>21</v>
      </c>
      <c r="G19" s="6" t="s">
        <v>21</v>
      </c>
      <c r="I19" s="6" t="s">
        <v>16</v>
      </c>
      <c r="J19" s="6" t="s">
        <v>17</v>
      </c>
      <c r="K19" s="6" t="s">
        <v>18</v>
      </c>
      <c r="L19" s="6" t="s">
        <v>19</v>
      </c>
      <c r="M19" s="6" t="s">
        <v>20</v>
      </c>
      <c r="N19" s="6" t="s">
        <v>21</v>
      </c>
      <c r="O19" s="6" t="s">
        <v>21</v>
      </c>
    </row>
    <row r="20" spans="1:15" ht="12.75">
      <c r="A20" s="7"/>
      <c r="B20" s="7"/>
      <c r="C20" s="7"/>
      <c r="D20" s="7"/>
      <c r="E20" s="7"/>
      <c r="F20" s="7"/>
      <c r="G20" s="7"/>
      <c r="I20" s="7"/>
      <c r="J20" s="7"/>
      <c r="K20" s="7"/>
      <c r="L20" s="7"/>
      <c r="M20" s="7"/>
      <c r="N20" s="7"/>
      <c r="O20" s="7"/>
    </row>
    <row r="22" spans="1:15" ht="12.75">
      <c r="A22">
        <f>D6</f>
        <v>2005</v>
      </c>
      <c r="B22" s="8">
        <f>ABS(F9)</f>
        <v>16925.5210677812</v>
      </c>
      <c r="C22" s="9">
        <f>(((F22*10^4)*D12)/(D15*10^7)*D14)/1.149</f>
        <v>4046.9973890339425</v>
      </c>
      <c r="D22" s="10">
        <f>D16</f>
        <v>2340</v>
      </c>
      <c r="E22" s="8">
        <f aca="true" t="shared" si="0" ref="E22:E31">B22+C22+D22</f>
        <v>23312.51845681514</v>
      </c>
      <c r="F22" s="8">
        <f>D11*3.15*10^4</f>
        <v>78750</v>
      </c>
      <c r="G22" s="11">
        <f aca="true" t="shared" si="1" ref="G22:G31">E22/F22</f>
        <v>0.2960319804040018</v>
      </c>
      <c r="I22">
        <f>D6</f>
        <v>2005</v>
      </c>
      <c r="J22" s="8">
        <f>ABS(N9)</f>
        <v>35153.00529462249</v>
      </c>
      <c r="K22" s="9">
        <f>(((N22*10^4)*(L12)/10^7)*2.2)*L14</f>
        <v>866.2500000000001</v>
      </c>
      <c r="L22" s="10">
        <f>L16</f>
        <v>1740</v>
      </c>
      <c r="M22" s="8">
        <f aca="true" t="shared" si="2" ref="M22:M31">J22+K22+L22</f>
        <v>37759.25529462249</v>
      </c>
      <c r="N22" s="8">
        <f>L11*3.15*10^4</f>
        <v>78750</v>
      </c>
      <c r="O22" s="11">
        <f aca="true" t="shared" si="3" ref="O22:O31">M22/N22</f>
        <v>0.47948260691584116</v>
      </c>
    </row>
    <row r="23" spans="1:15" ht="12.75">
      <c r="A23">
        <f aca="true" t="shared" si="4" ref="A23:A31">A22+1</f>
        <v>2006</v>
      </c>
      <c r="B23" s="2">
        <f>F9</f>
        <v>16925.5210677812</v>
      </c>
      <c r="C23" s="8">
        <f>C22*(1+(D8+D10))</f>
        <v>4310.052219321148</v>
      </c>
      <c r="D23" s="8">
        <f>D22*(1+D7)</f>
        <v>2363.4</v>
      </c>
      <c r="E23" s="8">
        <f t="shared" si="0"/>
        <v>23598.973287102348</v>
      </c>
      <c r="F23" s="8">
        <f>F22*(100%+D10)</f>
        <v>79931.24999999999</v>
      </c>
      <c r="G23" s="11">
        <f t="shared" si="1"/>
        <v>0.2952408887275296</v>
      </c>
      <c r="I23">
        <f aca="true" t="shared" si="5" ref="I23:I31">I22+1</f>
        <v>2006</v>
      </c>
      <c r="J23" s="2">
        <f>N9</f>
        <v>35153.00529462249</v>
      </c>
      <c r="K23" s="8">
        <f>K22*(1+(L8+L10))</f>
        <v>922.5562500000001</v>
      </c>
      <c r="L23" s="8">
        <f>L22*(1+L7)</f>
        <v>1757.4</v>
      </c>
      <c r="M23" s="8">
        <f t="shared" si="2"/>
        <v>37832.96154462249</v>
      </c>
      <c r="N23" s="8">
        <f>N22*(100%+L10)</f>
        <v>79931.24999999999</v>
      </c>
      <c r="O23" s="11">
        <f t="shared" si="3"/>
        <v>0.473318777632309</v>
      </c>
    </row>
    <row r="24" spans="1:15" ht="12.75">
      <c r="A24">
        <f t="shared" si="4"/>
        <v>2007</v>
      </c>
      <c r="B24" s="8">
        <f>F9</f>
        <v>16925.5210677812</v>
      </c>
      <c r="C24" s="8">
        <f>C23*(1+D10)</f>
        <v>4374.703002610965</v>
      </c>
      <c r="D24" s="8">
        <f>D23*(1+D7)</f>
        <v>2387.034</v>
      </c>
      <c r="E24" s="8">
        <f t="shared" si="0"/>
        <v>23687.258070392163</v>
      </c>
      <c r="F24" s="8">
        <f>F23*(100%+D10)</f>
        <v>81130.21874999997</v>
      </c>
      <c r="G24" s="11">
        <f t="shared" si="1"/>
        <v>0.2919659090700057</v>
      </c>
      <c r="I24">
        <f t="shared" si="5"/>
        <v>2007</v>
      </c>
      <c r="J24" s="8">
        <f>N9</f>
        <v>35153.00529462249</v>
      </c>
      <c r="K24" s="8">
        <f>K23*(1+L10)</f>
        <v>936.39459375</v>
      </c>
      <c r="L24" s="8">
        <f>L23*(1+L7)</f>
        <v>1774.9740000000002</v>
      </c>
      <c r="M24" s="8">
        <f t="shared" si="2"/>
        <v>37864.373888372495</v>
      </c>
      <c r="N24" s="8">
        <f>N23*(100%+L10)</f>
        <v>81130.21874999997</v>
      </c>
      <c r="O24" s="11">
        <f t="shared" si="3"/>
        <v>0.46671110311005426</v>
      </c>
    </row>
    <row r="25" spans="1:15" ht="12.75">
      <c r="A25">
        <f t="shared" si="4"/>
        <v>2008</v>
      </c>
      <c r="B25" s="8">
        <f>F9</f>
        <v>16925.5210677812</v>
      </c>
      <c r="C25" s="8">
        <f>C24*(1+(D10))</f>
        <v>4440.3235476501295</v>
      </c>
      <c r="D25" s="8">
        <f>D24*(1+D7)</f>
        <v>2410.90434</v>
      </c>
      <c r="E25" s="8">
        <f t="shared" si="0"/>
        <v>23776.74895543133</v>
      </c>
      <c r="F25" s="8">
        <f>F24*(100%+D10)</f>
        <v>82347.17203124997</v>
      </c>
      <c r="G25" s="11">
        <f t="shared" si="1"/>
        <v>0.2887378931046749</v>
      </c>
      <c r="I25">
        <f t="shared" si="5"/>
        <v>2008</v>
      </c>
      <c r="J25" s="8">
        <f>N9</f>
        <v>35153.00529462249</v>
      </c>
      <c r="K25" s="8">
        <f>K24*(1+(L10))</f>
        <v>950.4405126562499</v>
      </c>
      <c r="L25" s="8">
        <f>L24*(1+L7)</f>
        <v>1792.7237400000001</v>
      </c>
      <c r="M25" s="8">
        <f t="shared" si="2"/>
        <v>37896.16954727874</v>
      </c>
      <c r="N25" s="8">
        <f>N24*(100%+L10)</f>
        <v>82347.17203124997</v>
      </c>
      <c r="O25" s="11">
        <f t="shared" si="3"/>
        <v>0.46020001188258786</v>
      </c>
    </row>
    <row r="26" spans="1:15" ht="12.75">
      <c r="A26">
        <f t="shared" si="4"/>
        <v>2009</v>
      </c>
      <c r="B26" s="8">
        <f>F9</f>
        <v>16925.5210677812</v>
      </c>
      <c r="C26" s="8">
        <f>C25*(1+D10)</f>
        <v>4506.928400864881</v>
      </c>
      <c r="D26" s="8">
        <f>D25*(1+D7)</f>
        <v>2435.0133834000003</v>
      </c>
      <c r="E26" s="8">
        <f t="shared" si="0"/>
        <v>23867.462852046083</v>
      </c>
      <c r="F26" s="8">
        <f>F25*(100%+D10)</f>
        <v>83582.37961171872</v>
      </c>
      <c r="G26" s="11">
        <f t="shared" si="1"/>
        <v>0.2855561538558987</v>
      </c>
      <c r="I26">
        <f t="shared" si="5"/>
        <v>2009</v>
      </c>
      <c r="J26" s="8">
        <f>N9</f>
        <v>35153.00529462249</v>
      </c>
      <c r="K26" s="8">
        <f>K25*(1+L10)</f>
        <v>964.6971203460936</v>
      </c>
      <c r="L26" s="8">
        <f>L25*(1+L7)</f>
        <v>1810.6509774</v>
      </c>
      <c r="M26" s="8">
        <f t="shared" si="2"/>
        <v>37928.35339236858</v>
      </c>
      <c r="N26" s="8">
        <f>N25*(100%+L10)</f>
        <v>83582.37961171872</v>
      </c>
      <c r="O26" s="11">
        <f t="shared" si="3"/>
        <v>0.45378408186706876</v>
      </c>
    </row>
    <row r="27" spans="1:15" ht="12.75">
      <c r="A27">
        <f t="shared" si="4"/>
        <v>2010</v>
      </c>
      <c r="B27" s="8">
        <f>F9</f>
        <v>16925.5210677812</v>
      </c>
      <c r="C27" s="8">
        <f>C26*(1+D10)</f>
        <v>4574.532326877854</v>
      </c>
      <c r="D27" s="8">
        <f>D26*(1+D7)</f>
        <v>2459.3635172340005</v>
      </c>
      <c r="E27" s="8">
        <f t="shared" si="0"/>
        <v>23959.41691189305</v>
      </c>
      <c r="F27" s="8">
        <f>F26*(100%+D10)</f>
        <v>84836.11530589449</v>
      </c>
      <c r="G27" s="11">
        <f t="shared" si="1"/>
        <v>0.28242001446556486</v>
      </c>
      <c r="I27">
        <f t="shared" si="5"/>
        <v>2010</v>
      </c>
      <c r="J27" s="8">
        <f>N9</f>
        <v>35153.00529462249</v>
      </c>
      <c r="K27" s="8">
        <f>K26*(1+L10)</f>
        <v>979.167577151285</v>
      </c>
      <c r="L27" s="8">
        <f>L26*(1+L7)</f>
        <v>1828.757487174</v>
      </c>
      <c r="M27" s="8">
        <f t="shared" si="2"/>
        <v>37960.93035894777</v>
      </c>
      <c r="N27" s="8">
        <f>N26*(100%+L10)</f>
        <v>84836.11530589449</v>
      </c>
      <c r="O27" s="11">
        <f t="shared" si="3"/>
        <v>0.4474619119707643</v>
      </c>
    </row>
    <row r="28" spans="1:15" ht="12.75">
      <c r="A28">
        <f t="shared" si="4"/>
        <v>2011</v>
      </c>
      <c r="B28" s="8">
        <f>F9</f>
        <v>16925.5210677812</v>
      </c>
      <c r="C28" s="8">
        <f>C27*(1+D10)</f>
        <v>4643.150311781022</v>
      </c>
      <c r="D28" s="8">
        <f>D27*(1+D7)</f>
        <v>2483.9571524063404</v>
      </c>
      <c r="E28" s="8">
        <f t="shared" si="0"/>
        <v>24052.62853196856</v>
      </c>
      <c r="F28" s="8">
        <f>F27*(100%+D10)</f>
        <v>86108.6570354829</v>
      </c>
      <c r="G28" s="11">
        <f t="shared" si="1"/>
        <v>0.279328808043739</v>
      </c>
      <c r="I28">
        <f t="shared" si="5"/>
        <v>2011</v>
      </c>
      <c r="J28" s="8">
        <f>N9</f>
        <v>35153.00529462249</v>
      </c>
      <c r="K28" s="8">
        <f>K27*(1+L10)</f>
        <v>993.8550908085541</v>
      </c>
      <c r="L28" s="8">
        <f>L27*(1+L7)</f>
        <v>1847.04506204574</v>
      </c>
      <c r="M28" s="8">
        <f t="shared" si="2"/>
        <v>37993.90544747678</v>
      </c>
      <c r="N28" s="8">
        <f>N27*(100%+L10)</f>
        <v>86108.6570354829</v>
      </c>
      <c r="O28" s="11">
        <f t="shared" si="3"/>
        <v>0.4412321217809794</v>
      </c>
    </row>
    <row r="29" spans="1:15" ht="12.75">
      <c r="A29">
        <f t="shared" si="4"/>
        <v>2012</v>
      </c>
      <c r="B29" s="8">
        <f>F9</f>
        <v>16925.5210677812</v>
      </c>
      <c r="C29" s="8">
        <f>C28*(1+D10)</f>
        <v>4712.797566457736</v>
      </c>
      <c r="D29" s="8">
        <f>D28*(1+D7)</f>
        <v>2508.796723930404</v>
      </c>
      <c r="E29" s="8">
        <f t="shared" si="0"/>
        <v>24147.11535816934</v>
      </c>
      <c r="F29" s="8">
        <f>F28*(100%+D10)</f>
        <v>87400.28689101513</v>
      </c>
      <c r="G29" s="11">
        <f t="shared" si="1"/>
        <v>0.27628187752152217</v>
      </c>
      <c r="I29">
        <f t="shared" si="5"/>
        <v>2012</v>
      </c>
      <c r="J29" s="8">
        <f>N9</f>
        <v>35153.00529462249</v>
      </c>
      <c r="K29" s="8">
        <f>K28*(1+L10)</f>
        <v>1008.7629171706823</v>
      </c>
      <c r="L29" s="8">
        <f>L28*(1+L7)</f>
        <v>1865.5155126661973</v>
      </c>
      <c r="M29" s="8">
        <f t="shared" si="2"/>
        <v>38027.28372445937</v>
      </c>
      <c r="N29" s="8">
        <f>N28*(100%+L10)</f>
        <v>87400.28689101513</v>
      </c>
      <c r="O29" s="11">
        <f t="shared" si="3"/>
        <v>0.43509335125956694</v>
      </c>
    </row>
    <row r="30" spans="1:15" ht="12.75">
      <c r="A30">
        <f t="shared" si="4"/>
        <v>2013</v>
      </c>
      <c r="B30" s="8">
        <f>F9</f>
        <v>16925.5210677812</v>
      </c>
      <c r="C30" s="8">
        <f>C29*(1+D10)</f>
        <v>4783.4895299546015</v>
      </c>
      <c r="D30" s="8">
        <f>D29*(1+D7)</f>
        <v>2533.884691169708</v>
      </c>
      <c r="E30" s="8">
        <f t="shared" si="0"/>
        <v>24242.895288905507</v>
      </c>
      <c r="F30" s="8">
        <f>F29*(100%+D10)</f>
        <v>88711.29119438035</v>
      </c>
      <c r="G30" s="11">
        <f t="shared" si="1"/>
        <v>0.2732785755060821</v>
      </c>
      <c r="I30">
        <f t="shared" si="5"/>
        <v>2013</v>
      </c>
      <c r="J30" s="8">
        <f>N9</f>
        <v>35153.00529462249</v>
      </c>
      <c r="K30" s="8">
        <f>K29*(1+L10)</f>
        <v>1023.8943609282425</v>
      </c>
      <c r="L30" s="8">
        <f>L29*(1+L7)</f>
        <v>1884.1706677928594</v>
      </c>
      <c r="M30" s="8">
        <f t="shared" si="2"/>
        <v>38061.07032334359</v>
      </c>
      <c r="N30" s="8">
        <f>N29*(100%+L10)</f>
        <v>88711.29119438035</v>
      </c>
      <c r="O30" s="11">
        <f t="shared" si="3"/>
        <v>0.4290442604419523</v>
      </c>
    </row>
    <row r="31" spans="1:15" ht="12.75">
      <c r="A31">
        <f t="shared" si="4"/>
        <v>2014</v>
      </c>
      <c r="B31" s="8">
        <f>F9</f>
        <v>16925.5210677812</v>
      </c>
      <c r="C31" s="8">
        <f>C30*(1+D10)</f>
        <v>4855.24187290392</v>
      </c>
      <c r="D31" s="8">
        <f>D30*(1+D7)</f>
        <v>2559.223538081405</v>
      </c>
      <c r="E31" s="8">
        <f t="shared" si="0"/>
        <v>24339.986478766525</v>
      </c>
      <c r="F31" s="8">
        <f>F30*(100%+D10)</f>
        <v>90041.96056229605</v>
      </c>
      <c r="G31" s="11">
        <f t="shared" si="1"/>
        <v>0.2703182641378268</v>
      </c>
      <c r="I31">
        <f t="shared" si="5"/>
        <v>2014</v>
      </c>
      <c r="J31" s="8">
        <f>N9</f>
        <v>35153.00529462249</v>
      </c>
      <c r="K31" s="8">
        <f>K30*(1+L10)</f>
        <v>1039.252776342166</v>
      </c>
      <c r="L31" s="8">
        <f>L30*(1+L7)</f>
        <v>1903.012374470788</v>
      </c>
      <c r="M31" s="8">
        <f t="shared" si="2"/>
        <v>38095.270445435446</v>
      </c>
      <c r="N31" s="8">
        <f>N30*(100%+L10)</f>
        <v>90041.96056229605</v>
      </c>
      <c r="O31" s="11">
        <f t="shared" si="3"/>
        <v>0.42308352914060565</v>
      </c>
    </row>
    <row r="32" spans="2:13" ht="12.75">
      <c r="B32" s="8"/>
      <c r="C32" s="9"/>
      <c r="D32" s="10"/>
      <c r="E32" s="8"/>
      <c r="J32" s="8"/>
      <c r="K32" s="9"/>
      <c r="L32" s="10"/>
      <c r="M32" s="8"/>
    </row>
    <row r="33" spans="1:14" ht="12.75">
      <c r="A33" t="s">
        <v>22</v>
      </c>
      <c r="B33" s="13">
        <f>NPV(D8,B22:B31)</f>
        <v>130694.38722373948</v>
      </c>
      <c r="C33" s="13">
        <f>NPV(D8,C22:C31)</f>
        <v>34694.39301345445</v>
      </c>
      <c r="D33" s="13">
        <f>NPV(D8,D22:D31)</f>
        <v>18828.68346775837</v>
      </c>
      <c r="E33" s="13">
        <f>NPV(D8,E22:E31)</f>
        <v>184217.46370495227</v>
      </c>
      <c r="F33" s="8">
        <f>SUM(F22:F31)</f>
        <v>842839.3313820377</v>
      </c>
      <c r="I33" t="s">
        <v>22</v>
      </c>
      <c r="J33" s="13">
        <f>NPV(D8,J22:J31)</f>
        <v>271442.1888493051</v>
      </c>
      <c r="K33" s="13">
        <f>NPV(D8,K22:K31)</f>
        <v>7426.250886482313</v>
      </c>
      <c r="L33" s="13">
        <f>NPV(D8,L22:L31)</f>
        <v>14000.81591192289</v>
      </c>
      <c r="M33" s="13">
        <f>NPV(D8,M22:M31)</f>
        <v>292869.2556477103</v>
      </c>
      <c r="N33" s="8">
        <f>SUM(N22:N31)</f>
        <v>842839.3313820377</v>
      </c>
    </row>
    <row r="34" spans="1:12" ht="12.75">
      <c r="A34" t="s">
        <v>23</v>
      </c>
      <c r="D34" s="13">
        <f>E33</f>
        <v>184217.46370495227</v>
      </c>
      <c r="I34" t="s">
        <v>23</v>
      </c>
      <c r="L34" s="13">
        <f>M33</f>
        <v>292869.2556477103</v>
      </c>
    </row>
    <row r="35" spans="1:12" ht="12.75">
      <c r="A35" t="s">
        <v>24</v>
      </c>
      <c r="D35" s="53">
        <f>PMT(D8,10,D34)*-1</f>
        <v>23857.00433832429</v>
      </c>
      <c r="I35" t="s">
        <v>24</v>
      </c>
      <c r="L35" s="53">
        <f>PMT(D8,10,L34)*-1</f>
        <v>37927.90847310639</v>
      </c>
    </row>
    <row r="36" spans="1:12" ht="12.75">
      <c r="A36" t="s">
        <v>25</v>
      </c>
      <c r="D36" s="15">
        <f>D35/F33*10</f>
        <v>0.2830551856093972</v>
      </c>
      <c r="I36" t="s">
        <v>25</v>
      </c>
      <c r="L36" s="15">
        <f>L35/N33*10</f>
        <v>0.45000164397779663</v>
      </c>
    </row>
    <row r="37" spans="1:14" ht="12.75">
      <c r="A37" t="s">
        <v>26</v>
      </c>
      <c r="D37" s="15">
        <f>D36*4.547</f>
        <v>1.287051928965929</v>
      </c>
      <c r="I37" t="s">
        <v>26</v>
      </c>
      <c r="L37" s="15">
        <f>L36*4.547</f>
        <v>2.0461574751670413</v>
      </c>
      <c r="N37" s="16"/>
    </row>
    <row r="38" ht="12.75">
      <c r="D38" s="15"/>
    </row>
    <row r="39" ht="12.75">
      <c r="D39" s="15"/>
    </row>
    <row r="40" ht="12.75">
      <c r="D40" s="15"/>
    </row>
    <row r="41" ht="12.75">
      <c r="I41" t="s">
        <v>27</v>
      </c>
    </row>
    <row r="42" spans="1:9" ht="12.75">
      <c r="A42" t="s">
        <v>27</v>
      </c>
      <c r="I42" t="s">
        <v>66</v>
      </c>
    </row>
    <row r="43" spans="1:9" ht="12.75">
      <c r="A43" t="s">
        <v>66</v>
      </c>
      <c r="I43" t="s">
        <v>29</v>
      </c>
    </row>
    <row r="44" spans="1:9" ht="12.75">
      <c r="A44" t="s">
        <v>29</v>
      </c>
      <c r="I44" t="s">
        <v>30</v>
      </c>
    </row>
    <row r="45" ht="12.75">
      <c r="A45" t="s">
        <v>30</v>
      </c>
    </row>
    <row r="51" spans="4:12" ht="12.75">
      <c r="D51" t="s">
        <v>57</v>
      </c>
      <c r="L51" t="s">
        <v>58</v>
      </c>
    </row>
    <row r="55" ht="12.75">
      <c r="B55" s="17"/>
    </row>
    <row r="60" spans="4:5" ht="12.75">
      <c r="D60" s="1"/>
      <c r="E60" s="1"/>
    </row>
    <row r="61" spans="4:6" ht="12.75">
      <c r="D61" s="1"/>
      <c r="E61" s="1"/>
      <c r="F61" s="2"/>
    </row>
    <row r="62" spans="4:5" ht="12.75">
      <c r="D62" s="1"/>
      <c r="E62" s="1"/>
    </row>
    <row r="63" ht="12.75">
      <c r="D63" s="3"/>
    </row>
    <row r="64" ht="12.75">
      <c r="D64" s="4"/>
    </row>
    <row r="65" spans="4:5" ht="12.75">
      <c r="D65" s="5"/>
      <c r="E65" s="5"/>
    </row>
    <row r="66" ht="12.75">
      <c r="D66" s="2"/>
    </row>
    <row r="67" ht="12.75">
      <c r="D67" s="2"/>
    </row>
    <row r="68" ht="12.75">
      <c r="D68" s="2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18"/>
      <c r="B72" s="18"/>
      <c r="C72" s="18"/>
      <c r="D72" s="18"/>
      <c r="E72" s="18"/>
      <c r="F72" s="18"/>
      <c r="G72" s="18"/>
    </row>
    <row r="73" ht="12.75">
      <c r="A73" s="18"/>
    </row>
    <row r="74" spans="2:7" ht="12.75">
      <c r="B74" s="8"/>
      <c r="C74" s="9"/>
      <c r="D74" s="10"/>
      <c r="E74" s="8"/>
      <c r="F74" s="8"/>
      <c r="G74" s="11"/>
    </row>
    <row r="75" spans="2:7" ht="12.75">
      <c r="B75" s="2"/>
      <c r="C75" s="8"/>
      <c r="D75" s="8"/>
      <c r="E75" s="8"/>
      <c r="F75" s="8"/>
      <c r="G75" s="11"/>
    </row>
    <row r="76" spans="2:7" ht="12.75">
      <c r="B76" s="8"/>
      <c r="C76" s="8"/>
      <c r="D76" s="8"/>
      <c r="E76" s="8"/>
      <c r="F76" s="8"/>
      <c r="G76" s="11"/>
    </row>
    <row r="77" spans="2:7" ht="12.75">
      <c r="B77" s="8"/>
      <c r="C77" s="8"/>
      <c r="D77" s="8"/>
      <c r="E77" s="8"/>
      <c r="F77" s="8"/>
      <c r="G77" s="11"/>
    </row>
    <row r="78" spans="2:7" ht="12.75">
      <c r="B78" s="8"/>
      <c r="C78" s="8"/>
      <c r="D78" s="10"/>
      <c r="E78" s="8"/>
      <c r="F78" s="8"/>
      <c r="G78" s="11"/>
    </row>
    <row r="79" spans="2:7" ht="12.75">
      <c r="B79" s="8"/>
      <c r="C79" s="8"/>
      <c r="D79" s="8"/>
      <c r="E79" s="8"/>
      <c r="F79" s="8"/>
      <c r="G79" s="11"/>
    </row>
    <row r="80" spans="2:7" ht="12.75">
      <c r="B80" s="8"/>
      <c r="C80" s="8"/>
      <c r="D80" s="8"/>
      <c r="E80" s="8"/>
      <c r="F80" s="8"/>
      <c r="G80" s="11"/>
    </row>
    <row r="81" spans="2:7" ht="12.75">
      <c r="B81" s="8"/>
      <c r="C81" s="8"/>
      <c r="D81" s="8"/>
      <c r="E81" s="8"/>
      <c r="F81" s="8"/>
      <c r="G81" s="11"/>
    </row>
    <row r="82" spans="2:7" ht="12.75">
      <c r="B82" s="8"/>
      <c r="C82" s="8"/>
      <c r="D82" s="8"/>
      <c r="E82" s="8"/>
      <c r="F82" s="8"/>
      <c r="G82" s="11"/>
    </row>
    <row r="83" spans="2:7" ht="12.75">
      <c r="B83" s="8"/>
      <c r="C83" s="8"/>
      <c r="D83" s="8"/>
      <c r="E83" s="8"/>
      <c r="F83" s="8"/>
      <c r="G83" s="11"/>
    </row>
    <row r="84" spans="2:5" ht="12.75">
      <c r="B84" s="8"/>
      <c r="C84" s="9"/>
      <c r="D84" s="10"/>
      <c r="E84" s="8"/>
    </row>
    <row r="85" spans="2:6" ht="12.75">
      <c r="B85" s="12"/>
      <c r="C85" s="13"/>
      <c r="D85" s="13"/>
      <c r="E85" s="13"/>
      <c r="F85" s="8"/>
    </row>
    <row r="86" spans="4:6" ht="12.75">
      <c r="D86" s="13"/>
      <c r="F86" s="13"/>
    </row>
    <row r="87" ht="12.75">
      <c r="D87" s="14"/>
    </row>
    <row r="88" ht="12.75">
      <c r="D88" s="15"/>
    </row>
    <row r="89" ht="12.75">
      <c r="D89" s="15"/>
    </row>
    <row r="90" ht="12.75">
      <c r="D90" s="15"/>
    </row>
    <row r="91" ht="12.75">
      <c r="D91" s="15"/>
    </row>
    <row r="92" ht="12.75">
      <c r="D92" s="15"/>
    </row>
  </sheetData>
  <sheetProtection/>
  <printOptions/>
  <pageMargins left="0.58" right="0.49" top="0.71" bottom="1" header="0.5" footer="0.5"/>
  <pageSetup horizontalDpi="600" verticalDpi="600" orientation="portrait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3">
      <selection activeCell="D11" sqref="D11"/>
    </sheetView>
  </sheetViews>
  <sheetFormatPr defaultColWidth="9.140625" defaultRowHeight="12.75"/>
  <cols>
    <col min="2" max="2" width="29.57421875" style="0" customWidth="1"/>
    <col min="3" max="8" width="12.7109375" style="0" customWidth="1"/>
  </cols>
  <sheetData>
    <row r="2" spans="2:3" ht="12.75">
      <c r="B2" s="17" t="s">
        <v>56</v>
      </c>
      <c r="C2" s="17">
        <f>'Disinfectant Analysis'!B3</f>
        <v>0</v>
      </c>
    </row>
    <row r="4" ht="12.75">
      <c r="B4" s="17" t="s">
        <v>40</v>
      </c>
    </row>
    <row r="6" ht="12.75">
      <c r="B6" s="17" t="s">
        <v>41</v>
      </c>
    </row>
    <row r="7" spans="2:8" ht="12.75">
      <c r="B7" s="7"/>
      <c r="C7" s="7"/>
      <c r="D7" s="7"/>
      <c r="E7" s="7"/>
      <c r="F7" s="7"/>
      <c r="G7" s="7"/>
      <c r="H7" s="7"/>
    </row>
    <row r="8" spans="1:8" ht="12.75">
      <c r="A8" s="23"/>
      <c r="B8" s="19" t="s">
        <v>42</v>
      </c>
      <c r="C8" s="17"/>
      <c r="D8" s="26" t="s">
        <v>43</v>
      </c>
      <c r="E8" s="19"/>
      <c r="F8" s="17"/>
      <c r="G8" s="17" t="s">
        <v>44</v>
      </c>
      <c r="H8" s="19"/>
    </row>
    <row r="9" spans="1:8" ht="12.75">
      <c r="A9" s="23"/>
      <c r="B9" s="27"/>
      <c r="C9" s="21" t="s">
        <v>45</v>
      </c>
      <c r="D9" s="21" t="s">
        <v>46</v>
      </c>
      <c r="E9" s="20" t="s">
        <v>47</v>
      </c>
      <c r="F9" s="21" t="s">
        <v>45</v>
      </c>
      <c r="G9" s="21" t="s">
        <v>46</v>
      </c>
      <c r="H9" s="20" t="s">
        <v>47</v>
      </c>
    </row>
    <row r="10" spans="1:8" ht="12.75">
      <c r="A10" s="23"/>
      <c r="B10" s="22"/>
      <c r="E10" s="22"/>
      <c r="H10" s="22"/>
    </row>
    <row r="11" spans="1:8" ht="12.75">
      <c r="A11" s="23"/>
      <c r="B11" s="23" t="s">
        <v>48</v>
      </c>
      <c r="C11" s="28" t="e">
        <f>'Disinfectant Analysis'!#REF!</f>
        <v>#REF!</v>
      </c>
      <c r="D11" s="29" t="e">
        <f>'Disinfectant Analysis'!#REF!</f>
        <v>#REF!</v>
      </c>
      <c r="E11" s="30" t="e">
        <f>'Disinfectant Analysis'!#REF!</f>
        <v>#REF!</v>
      </c>
      <c r="F11" s="13">
        <f>'Disinfectant Analysis'!L34</f>
        <v>292869.2556477103</v>
      </c>
      <c r="G11" s="13">
        <f>'Disinfectant Analysis'!D34</f>
        <v>184217.46370495227</v>
      </c>
      <c r="H11" s="30" t="e">
        <f>'Disinfectant Analysis'!#REF!</f>
        <v>#REF!</v>
      </c>
    </row>
    <row r="12" spans="1:8" ht="12.75">
      <c r="A12" s="23"/>
      <c r="B12" s="23" t="s">
        <v>49</v>
      </c>
      <c r="C12" s="13" t="e">
        <f>'Disinfectant Analysis'!#REF!</f>
        <v>#REF!</v>
      </c>
      <c r="D12" s="13" t="e">
        <f>'Disinfectant Analysis'!#REF!</f>
        <v>#REF!</v>
      </c>
      <c r="E12" s="30" t="e">
        <f>'Disinfectant Analysis'!#REF!</f>
        <v>#REF!</v>
      </c>
      <c r="F12" s="13" t="e">
        <f>'Disinfectant Analysis'!#REF!</f>
        <v>#REF!</v>
      </c>
      <c r="G12" s="13">
        <f>'Disinfectant Analysis'!D34</f>
        <v>184217.46370495227</v>
      </c>
      <c r="H12" s="30" t="e">
        <f>'Disinfectant Analysis'!#REF!</f>
        <v>#REF!</v>
      </c>
    </row>
    <row r="13" spans="1:8" ht="12.75">
      <c r="A13" s="23"/>
      <c r="B13" s="23" t="s">
        <v>50</v>
      </c>
      <c r="C13" s="13" t="e">
        <f>'Disinfectant Analysis'!#REF!</f>
        <v>#REF!</v>
      </c>
      <c r="D13" s="13" t="e">
        <f>'Disinfectant Analysis'!#REF!</f>
        <v>#REF!</v>
      </c>
      <c r="E13" s="30" t="e">
        <f>'Disinfectant Analysis'!#REF!</f>
        <v>#REF!</v>
      </c>
      <c r="F13" s="13" t="e">
        <f>'Disinfectant Analysis'!#REF!</f>
        <v>#REF!</v>
      </c>
      <c r="G13" s="13">
        <f>'Disinfectant Analysis'!D34</f>
        <v>184217.46370495227</v>
      </c>
      <c r="H13" s="30" t="e">
        <f>'Disinfectant Analysis'!#REF!</f>
        <v>#REF!</v>
      </c>
    </row>
    <row r="14" spans="1:8" ht="12.75">
      <c r="A14" s="23"/>
      <c r="B14" s="23" t="s">
        <v>51</v>
      </c>
      <c r="C14" s="13" t="e">
        <f>'Disinfectant Analysis'!#REF!</f>
        <v>#REF!</v>
      </c>
      <c r="D14" s="13" t="e">
        <f>'Disinfectant Analysis'!#REF!</f>
        <v>#REF!</v>
      </c>
      <c r="E14" s="30" t="e">
        <f>'Disinfectant Analysis'!#REF!</f>
        <v>#REF!</v>
      </c>
      <c r="F14" s="13" t="e">
        <f>'Disinfectant Analysis'!#REF!</f>
        <v>#REF!</v>
      </c>
      <c r="G14" s="13">
        <f>'Disinfectant Analysis'!D34</f>
        <v>184217.46370495227</v>
      </c>
      <c r="H14" s="30" t="e">
        <f>'Disinfectant Analysis'!#REF!</f>
        <v>#REF!</v>
      </c>
    </row>
    <row r="15" spans="1:8" ht="12.75">
      <c r="A15" s="23"/>
      <c r="B15" s="23" t="s">
        <v>52</v>
      </c>
      <c r="C15" s="13" t="e">
        <f>'Disinfectant Analysis'!#REF!</f>
        <v>#REF!</v>
      </c>
      <c r="D15" s="13" t="e">
        <f>'Disinfectant Analysis'!#REF!</f>
        <v>#REF!</v>
      </c>
      <c r="E15" s="30" t="e">
        <f>'Disinfectant Analysis'!#REF!</f>
        <v>#REF!</v>
      </c>
      <c r="F15" s="13" t="e">
        <f>'Disinfectant Analysis'!#REF!</f>
        <v>#REF!</v>
      </c>
      <c r="G15" s="13">
        <f>'Disinfectant Analysis'!D34</f>
        <v>184217.46370495227</v>
      </c>
      <c r="H15" s="30" t="e">
        <f>'Disinfectant Analysis'!#REF!</f>
        <v>#REF!</v>
      </c>
    </row>
    <row r="16" spans="1:8" ht="12.75">
      <c r="A16" s="23"/>
      <c r="B16" s="24" t="s">
        <v>53</v>
      </c>
      <c r="C16" s="32" t="e">
        <f>1.001*D16</f>
        <v>#REF!</v>
      </c>
      <c r="D16" s="31" t="e">
        <f>'Disinfectant Analysis'!#REF!</f>
        <v>#REF!</v>
      </c>
      <c r="E16" s="33" t="e">
        <f>D16-(0.001*D16)</f>
        <v>#REF!</v>
      </c>
      <c r="F16" s="31">
        <f>1.001*G16</f>
        <v>184401.6811686572</v>
      </c>
      <c r="G16" s="31">
        <f>'Disinfectant Analysis'!D34</f>
        <v>184217.46370495227</v>
      </c>
      <c r="H16" s="33">
        <f>G16-(0.001*G16)</f>
        <v>184033.2462412473</v>
      </c>
    </row>
    <row r="17" ht="12.75">
      <c r="A17" s="23"/>
    </row>
    <row r="19" ht="12.75">
      <c r="B19" s="17" t="s">
        <v>54</v>
      </c>
    </row>
    <row r="21" spans="2:8" ht="12.75">
      <c r="B21" s="7"/>
      <c r="C21" s="7"/>
      <c r="D21" s="7"/>
      <c r="E21" s="7"/>
      <c r="F21" s="7"/>
      <c r="G21" s="7"/>
      <c r="H21" s="7"/>
    </row>
    <row r="22" spans="1:8" ht="12.75">
      <c r="A22" s="23"/>
      <c r="B22" s="19" t="s">
        <v>42</v>
      </c>
      <c r="C22" s="17"/>
      <c r="D22" s="17" t="s">
        <v>43</v>
      </c>
      <c r="E22" s="19"/>
      <c r="F22" s="17"/>
      <c r="G22" s="17" t="s">
        <v>44</v>
      </c>
      <c r="H22" s="19"/>
    </row>
    <row r="23" spans="1:8" ht="12.75">
      <c r="A23" s="23"/>
      <c r="B23" s="27"/>
      <c r="C23" s="21" t="s">
        <v>45</v>
      </c>
      <c r="D23" s="21" t="s">
        <v>46</v>
      </c>
      <c r="E23" s="20" t="s">
        <v>47</v>
      </c>
      <c r="F23" s="21" t="s">
        <v>45</v>
      </c>
      <c r="G23" s="21" t="s">
        <v>46</v>
      </c>
      <c r="H23" s="20" t="s">
        <v>47</v>
      </c>
    </row>
    <row r="24" spans="1:8" ht="12.75">
      <c r="A24" s="23"/>
      <c r="B24" s="22"/>
      <c r="C24" s="25"/>
      <c r="E24" s="22"/>
      <c r="H24" s="22"/>
    </row>
    <row r="25" spans="1:8" ht="12.75">
      <c r="A25" s="23"/>
      <c r="B25" s="23" t="s">
        <v>48</v>
      </c>
      <c r="C25" s="35" t="e">
        <f aca="true" t="shared" si="0" ref="C25:C30">(C11-D11)/D11</f>
        <v>#REF!</v>
      </c>
      <c r="D25" s="35">
        <v>0</v>
      </c>
      <c r="E25" s="38" t="e">
        <f aca="true" t="shared" si="1" ref="E25:E30">(E11-D11)/D11</f>
        <v>#REF!</v>
      </c>
      <c r="F25" s="35">
        <f aca="true" t="shared" si="2" ref="F25:F30">(F11-G11)/G11</f>
        <v>0.5898018014012922</v>
      </c>
      <c r="G25" s="35">
        <v>0</v>
      </c>
      <c r="H25" s="38" t="e">
        <f aca="true" t="shared" si="3" ref="H25:H30">(H11-G11)/G11</f>
        <v>#REF!</v>
      </c>
    </row>
    <row r="26" spans="1:8" ht="12.75">
      <c r="A26" s="23"/>
      <c r="B26" s="34" t="s">
        <v>49</v>
      </c>
      <c r="C26" s="35" t="e">
        <f t="shared" si="0"/>
        <v>#REF!</v>
      </c>
      <c r="D26" s="35">
        <v>0</v>
      </c>
      <c r="E26" s="38" t="e">
        <f t="shared" si="1"/>
        <v>#REF!</v>
      </c>
      <c r="F26" s="35" t="e">
        <f t="shared" si="2"/>
        <v>#REF!</v>
      </c>
      <c r="G26" s="35">
        <v>0</v>
      </c>
      <c r="H26" s="38" t="e">
        <f t="shared" si="3"/>
        <v>#REF!</v>
      </c>
    </row>
    <row r="27" spans="1:8" ht="12.75">
      <c r="A27" s="23"/>
      <c r="B27" s="34" t="s">
        <v>50</v>
      </c>
      <c r="C27" s="35" t="e">
        <f t="shared" si="0"/>
        <v>#REF!</v>
      </c>
      <c r="D27" s="35">
        <v>0</v>
      </c>
      <c r="E27" s="38" t="e">
        <f t="shared" si="1"/>
        <v>#REF!</v>
      </c>
      <c r="F27" s="35" t="e">
        <f t="shared" si="2"/>
        <v>#REF!</v>
      </c>
      <c r="G27" s="35">
        <v>0</v>
      </c>
      <c r="H27" s="38" t="e">
        <f t="shared" si="3"/>
        <v>#REF!</v>
      </c>
    </row>
    <row r="28" spans="1:8" ht="12.75">
      <c r="A28" s="23"/>
      <c r="B28" s="23" t="s">
        <v>51</v>
      </c>
      <c r="C28" s="35" t="e">
        <f t="shared" si="0"/>
        <v>#REF!</v>
      </c>
      <c r="D28" s="35">
        <v>0</v>
      </c>
      <c r="E28" s="38" t="e">
        <f t="shared" si="1"/>
        <v>#REF!</v>
      </c>
      <c r="F28" s="35" t="e">
        <f t="shared" si="2"/>
        <v>#REF!</v>
      </c>
      <c r="G28" s="35">
        <v>0</v>
      </c>
      <c r="H28" s="38" t="e">
        <f t="shared" si="3"/>
        <v>#REF!</v>
      </c>
    </row>
    <row r="29" spans="1:8" ht="12.75">
      <c r="A29" s="23"/>
      <c r="B29" s="23" t="s">
        <v>52</v>
      </c>
      <c r="C29" s="35" t="e">
        <f t="shared" si="0"/>
        <v>#REF!</v>
      </c>
      <c r="D29" s="35">
        <v>0</v>
      </c>
      <c r="E29" s="38" t="e">
        <f t="shared" si="1"/>
        <v>#REF!</v>
      </c>
      <c r="F29" s="35" t="e">
        <f t="shared" si="2"/>
        <v>#REF!</v>
      </c>
      <c r="G29" s="35">
        <v>0</v>
      </c>
      <c r="H29" s="38" t="e">
        <f t="shared" si="3"/>
        <v>#REF!</v>
      </c>
    </row>
    <row r="30" spans="1:8" ht="12.75">
      <c r="A30" s="23"/>
      <c r="B30" s="24" t="s">
        <v>53</v>
      </c>
      <c r="C30" s="36" t="e">
        <f t="shared" si="0"/>
        <v>#REF!</v>
      </c>
      <c r="D30" s="37">
        <v>0</v>
      </c>
      <c r="E30" s="39" t="e">
        <f t="shared" si="1"/>
        <v>#REF!</v>
      </c>
      <c r="F30" s="37">
        <f t="shared" si="2"/>
        <v>0.00099999999999989</v>
      </c>
      <c r="G30" s="37">
        <v>0</v>
      </c>
      <c r="H30" s="39">
        <f t="shared" si="3"/>
        <v>-0.001000000000000048</v>
      </c>
    </row>
    <row r="33" spans="2:8" ht="12.75">
      <c r="B33" s="17" t="s">
        <v>55</v>
      </c>
      <c r="C33" s="40"/>
      <c r="D33" s="40"/>
      <c r="E33" s="40"/>
      <c r="F33" s="40"/>
      <c r="G33" s="40"/>
      <c r="H33" s="40"/>
    </row>
    <row r="34" spans="3:8" ht="12.75">
      <c r="C34" s="40"/>
      <c r="D34" s="40"/>
      <c r="E34" s="40"/>
      <c r="F34" s="40"/>
      <c r="G34" s="40"/>
      <c r="H34" s="40"/>
    </row>
    <row r="35" spans="2:8" ht="12.75">
      <c r="B35" t="s">
        <v>39</v>
      </c>
      <c r="C35" s="40"/>
      <c r="D35" s="40"/>
      <c r="E35" s="40"/>
      <c r="F35" s="40"/>
      <c r="G35" s="40"/>
      <c r="H35" s="40"/>
    </row>
    <row r="36" spans="3:8" ht="12.75">
      <c r="C36" s="40"/>
      <c r="D36" s="40"/>
      <c r="E36" s="40"/>
      <c r="F36" s="40"/>
      <c r="G36" s="40"/>
      <c r="H36" s="40"/>
    </row>
    <row r="37" spans="3:8" ht="12.75">
      <c r="C37" s="40"/>
      <c r="D37" s="40"/>
      <c r="E37" s="40"/>
      <c r="F37" s="40"/>
      <c r="G37" s="40"/>
      <c r="H37" s="40"/>
    </row>
    <row r="38" spans="3:8" ht="12.75">
      <c r="C38" s="40"/>
      <c r="D38" s="40"/>
      <c r="E38" s="40"/>
      <c r="F38" s="40"/>
      <c r="G38" s="40"/>
      <c r="H38" s="40"/>
    </row>
    <row r="39" spans="3:8" ht="12.75">
      <c r="C39" s="40"/>
      <c r="D39" s="40"/>
      <c r="E39" s="40"/>
      <c r="F39" s="40"/>
      <c r="G39" s="40"/>
      <c r="H39" s="40"/>
    </row>
    <row r="40" spans="3:8" ht="12.75">
      <c r="C40" s="40"/>
      <c r="D40" s="40"/>
      <c r="E40" s="40"/>
      <c r="F40" s="40"/>
      <c r="G40" s="40"/>
      <c r="H40" s="40"/>
    </row>
    <row r="41" spans="3:8" ht="12.75">
      <c r="C41" s="40"/>
      <c r="D41" s="40"/>
      <c r="E41" s="40"/>
      <c r="F41" s="40"/>
      <c r="G41" s="40"/>
      <c r="H41" s="40"/>
    </row>
    <row r="42" spans="3:8" ht="12.75">
      <c r="C42" s="40"/>
      <c r="D42" s="40"/>
      <c r="E42" s="40"/>
      <c r="F42" s="40"/>
      <c r="G42" s="40"/>
      <c r="H42" s="40"/>
    </row>
    <row r="43" spans="3:8" ht="12.75">
      <c r="C43" s="40"/>
      <c r="D43" s="40"/>
      <c r="E43" s="40"/>
      <c r="F43" s="40"/>
      <c r="G43" s="40"/>
      <c r="H43" s="40"/>
    </row>
  </sheetData>
  <sheetProtection password="C39A" sheet="1" objects="1" scenarios="1"/>
  <printOptions/>
  <pageMargins left="0.43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0"/>
  <sheetViews>
    <sheetView workbookViewId="0" topLeftCell="A195">
      <selection activeCell="A1" sqref="A1:G201"/>
    </sheetView>
  </sheetViews>
  <sheetFormatPr defaultColWidth="9.140625" defaultRowHeight="12.75"/>
  <cols>
    <col min="1" max="7" width="12.7109375" style="0" customWidth="1"/>
  </cols>
  <sheetData>
    <row r="1" spans="1:3" ht="12.75">
      <c r="A1" t="s">
        <v>37</v>
      </c>
      <c r="C1" t="s">
        <v>33</v>
      </c>
    </row>
    <row r="3" spans="1:2" ht="12.75">
      <c r="A3" t="s">
        <v>0</v>
      </c>
      <c r="B3" s="17" t="s">
        <v>36</v>
      </c>
    </row>
    <row r="5" ht="12.75">
      <c r="A5" t="s">
        <v>1</v>
      </c>
    </row>
    <row r="7" spans="1:4" ht="12.75">
      <c r="A7" t="s">
        <v>35</v>
      </c>
      <c r="D7">
        <v>2005</v>
      </c>
    </row>
    <row r="8" spans="1:5" ht="12.75">
      <c r="A8" t="s">
        <v>2</v>
      </c>
      <c r="D8" s="1">
        <v>0.01</v>
      </c>
      <c r="E8" s="1"/>
    </row>
    <row r="9" spans="1:6" ht="12.75">
      <c r="A9" t="s">
        <v>3</v>
      </c>
      <c r="D9" s="1">
        <v>0.1</v>
      </c>
      <c r="E9" s="1"/>
      <c r="F9" s="2">
        <f>D13*(D9/1)*(1+D9/1)^(10*1)/((1+D9/1)^(10*1)-1)</f>
        <v>16925.5210677812</v>
      </c>
    </row>
    <row r="10" spans="1:5" ht="12.75">
      <c r="A10" t="s">
        <v>4</v>
      </c>
      <c r="D10" s="1">
        <v>0.015</v>
      </c>
      <c r="E10" s="1"/>
    </row>
    <row r="11" spans="1:5" ht="12.75">
      <c r="A11" t="s">
        <v>5</v>
      </c>
      <c r="D11" s="3">
        <v>2.5</v>
      </c>
      <c r="E11" t="s">
        <v>6</v>
      </c>
    </row>
    <row r="12" spans="1:5" ht="12.75">
      <c r="A12" t="s">
        <v>7</v>
      </c>
      <c r="D12" s="4">
        <v>10</v>
      </c>
      <c r="E12" t="s">
        <v>8</v>
      </c>
    </row>
    <row r="13" spans="1:5" ht="12.75">
      <c r="A13" t="s">
        <v>9</v>
      </c>
      <c r="D13" s="5">
        <f>'Disinfectant Analysis'!D13</f>
        <v>104000</v>
      </c>
      <c r="E13" s="5"/>
    </row>
    <row r="14" spans="1:4" ht="12.75">
      <c r="A14" t="s">
        <v>10</v>
      </c>
      <c r="D14" s="2">
        <f>'Disinfectant Analysis'!D14*1.25</f>
        <v>1.55</v>
      </c>
    </row>
    <row r="15" spans="1:4" ht="12.75">
      <c r="A15" t="s">
        <v>11</v>
      </c>
      <c r="D15" s="2">
        <v>712</v>
      </c>
    </row>
    <row r="16" spans="1:4" ht="12.75">
      <c r="A16" t="s">
        <v>12</v>
      </c>
      <c r="D16" s="2">
        <v>78840</v>
      </c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6"/>
      <c r="B18" s="6" t="s">
        <v>13</v>
      </c>
      <c r="C18" s="6"/>
      <c r="D18" s="6"/>
      <c r="E18" s="6"/>
      <c r="F18" s="6" t="s">
        <v>14</v>
      </c>
      <c r="G18" s="6" t="s">
        <v>15</v>
      </c>
    </row>
    <row r="19" spans="1:7" ht="12.75">
      <c r="A19" s="6" t="s">
        <v>16</v>
      </c>
      <c r="B19" s="6" t="s">
        <v>17</v>
      </c>
      <c r="C19" s="6" t="s">
        <v>18</v>
      </c>
      <c r="D19" s="6" t="s">
        <v>19</v>
      </c>
      <c r="E19" s="6" t="s">
        <v>20</v>
      </c>
      <c r="F19" s="6" t="s">
        <v>21</v>
      </c>
      <c r="G19" s="6" t="s">
        <v>21</v>
      </c>
    </row>
    <row r="20" spans="1:7" ht="12.75">
      <c r="A20" s="7"/>
      <c r="B20" s="7"/>
      <c r="C20" s="7"/>
      <c r="D20" s="7"/>
      <c r="E20" s="7"/>
      <c r="F20" s="7"/>
      <c r="G20" s="7"/>
    </row>
    <row r="22" spans="1:7" ht="12.75">
      <c r="A22">
        <f>D7</f>
        <v>2005</v>
      </c>
      <c r="B22" s="8">
        <f>ABS(F9)</f>
        <v>16925.5210677812</v>
      </c>
      <c r="C22" s="9">
        <f>D14</f>
        <v>1.55</v>
      </c>
      <c r="D22" s="10">
        <f>D15</f>
        <v>712</v>
      </c>
      <c r="E22" s="8">
        <f aca="true" t="shared" si="0" ref="E22:E31">B22+C22+D22</f>
        <v>17639.0710677812</v>
      </c>
      <c r="F22" s="8">
        <f>D16</f>
        <v>78840</v>
      </c>
      <c r="G22" s="11">
        <f aca="true" t="shared" si="1" ref="G22:G31">E22/F22</f>
        <v>0.22373250973847283</v>
      </c>
    </row>
    <row r="23" spans="1:7" ht="12.75">
      <c r="A23">
        <f aca="true" t="shared" si="2" ref="A23:A31">A22+1</f>
        <v>2006</v>
      </c>
      <c r="B23" s="2">
        <f>F9</f>
        <v>16925.5210677812</v>
      </c>
      <c r="C23" s="8">
        <f>C22*1.025</f>
        <v>1.5887499999999999</v>
      </c>
      <c r="D23" s="8">
        <f>D22*2</f>
        <v>1424</v>
      </c>
      <c r="E23" s="8">
        <f t="shared" si="0"/>
        <v>18351.1098177812</v>
      </c>
      <c r="F23" s="8">
        <f>F22*(100%+D10)</f>
        <v>80022.59999999999</v>
      </c>
      <c r="G23" s="11">
        <f t="shared" si="1"/>
        <v>0.2293240886672165</v>
      </c>
    </row>
    <row r="24" spans="1:7" ht="12.75">
      <c r="A24">
        <f t="shared" si="2"/>
        <v>2007</v>
      </c>
      <c r="B24" s="8">
        <f>F9</f>
        <v>16925.5210677812</v>
      </c>
      <c r="C24" s="8">
        <f aca="true" t="shared" si="3" ref="C24:C31">C23*1.015</f>
        <v>1.6125812499999996</v>
      </c>
      <c r="D24" s="8">
        <f>D22*3</f>
        <v>2136</v>
      </c>
      <c r="E24" s="8">
        <f t="shared" si="0"/>
        <v>19063.1336490312</v>
      </c>
      <c r="F24" s="8">
        <f>F23*(100%+D10)</f>
        <v>81222.93899999998</v>
      </c>
      <c r="G24" s="11">
        <f t="shared" si="1"/>
        <v>0.23470135264412437</v>
      </c>
    </row>
    <row r="25" spans="1:7" ht="12.75">
      <c r="A25">
        <f t="shared" si="2"/>
        <v>2008</v>
      </c>
      <c r="B25" s="8">
        <f>F9</f>
        <v>16925.5210677812</v>
      </c>
      <c r="C25" s="8">
        <f t="shared" si="3"/>
        <v>1.6367699687499995</v>
      </c>
      <c r="D25" s="8">
        <f>D22*4</f>
        <v>2848</v>
      </c>
      <c r="E25" s="8">
        <f t="shared" si="0"/>
        <v>19775.15783774995</v>
      </c>
      <c r="F25" s="8">
        <f>F24*(100%+D10)</f>
        <v>82441.28308499997</v>
      </c>
      <c r="G25" s="11">
        <f t="shared" si="1"/>
        <v>0.23986960291921997</v>
      </c>
    </row>
    <row r="26" spans="1:7" ht="12.75">
      <c r="A26">
        <f t="shared" si="2"/>
        <v>2009</v>
      </c>
      <c r="B26" s="8">
        <f>F9</f>
        <v>16925.5210677812</v>
      </c>
      <c r="C26" s="8">
        <f t="shared" si="3"/>
        <v>1.6613215182812493</v>
      </c>
      <c r="D26" s="10">
        <f>D22*5</f>
        <v>3560</v>
      </c>
      <c r="E26" s="8">
        <f t="shared" si="0"/>
        <v>20487.18238929948</v>
      </c>
      <c r="F26" s="8">
        <f>F25*(100%+D10)</f>
        <v>83677.90233127496</v>
      </c>
      <c r="G26" s="11">
        <f t="shared" si="1"/>
        <v>0.2448338428488821</v>
      </c>
    </row>
    <row r="27" spans="1:7" ht="12.75">
      <c r="A27">
        <f t="shared" si="2"/>
        <v>2010</v>
      </c>
      <c r="B27" s="8">
        <f>F9</f>
        <v>16925.5210677812</v>
      </c>
      <c r="C27" s="8">
        <f t="shared" si="3"/>
        <v>1.686241341055468</v>
      </c>
      <c r="D27" s="8">
        <f>D22*6</f>
        <v>4272</v>
      </c>
      <c r="E27" s="8">
        <f t="shared" si="0"/>
        <v>21199.207309122256</v>
      </c>
      <c r="F27" s="8">
        <f>F26*(100%+D10)</f>
        <v>84933.07086624407</v>
      </c>
      <c r="G27" s="11">
        <f t="shared" si="1"/>
        <v>0.24959897355539631</v>
      </c>
    </row>
    <row r="28" spans="1:7" ht="12.75">
      <c r="A28">
        <f t="shared" si="2"/>
        <v>2011</v>
      </c>
      <c r="B28" s="8">
        <f>F9</f>
        <v>16925.5210677812</v>
      </c>
      <c r="C28" s="8">
        <f t="shared" si="3"/>
        <v>1.7115349611712998</v>
      </c>
      <c r="D28" s="8">
        <f>D22*7</f>
        <v>4984</v>
      </c>
      <c r="E28" s="8">
        <f t="shared" si="0"/>
        <v>21911.23260274237</v>
      </c>
      <c r="F28" s="8">
        <f>F27*(100%+D10)</f>
        <v>86207.06692923773</v>
      </c>
      <c r="G28" s="11">
        <f t="shared" si="1"/>
        <v>0.2541697958559245</v>
      </c>
    </row>
    <row r="29" spans="1:7" ht="12.75">
      <c r="A29">
        <f t="shared" si="2"/>
        <v>2012</v>
      </c>
      <c r="B29" s="8">
        <f>F9</f>
        <v>16925.5210677812</v>
      </c>
      <c r="C29" s="8">
        <f t="shared" si="3"/>
        <v>1.7372079855888691</v>
      </c>
      <c r="D29" s="8">
        <f>D22*8</f>
        <v>5696</v>
      </c>
      <c r="E29" s="8">
        <f t="shared" si="0"/>
        <v>22623.258275766788</v>
      </c>
      <c r="F29" s="8">
        <f>F28*(100%+D10)</f>
        <v>87500.17293317629</v>
      </c>
      <c r="G29" s="11">
        <f t="shared" si="1"/>
        <v>0.25855101215678883</v>
      </c>
    </row>
    <row r="30" spans="1:7" ht="12.75">
      <c r="A30">
        <f t="shared" si="2"/>
        <v>2013</v>
      </c>
      <c r="B30" s="8">
        <f>F9</f>
        <v>16925.5210677812</v>
      </c>
      <c r="C30" s="8">
        <f t="shared" si="3"/>
        <v>1.763266105372702</v>
      </c>
      <c r="D30" s="8">
        <f>D22*9</f>
        <v>6408</v>
      </c>
      <c r="E30" s="8">
        <f t="shared" si="0"/>
        <v>23335.28433388657</v>
      </c>
      <c r="F30" s="8">
        <f>F29*(100%+D10)</f>
        <v>88812.67552717392</v>
      </c>
      <c r="G30" s="11">
        <f t="shared" si="1"/>
        <v>0.26274722831367353</v>
      </c>
    </row>
    <row r="31" spans="1:7" ht="12.75">
      <c r="A31">
        <f t="shared" si="2"/>
        <v>2014</v>
      </c>
      <c r="B31" s="8">
        <f>F9</f>
        <v>16925.5210677812</v>
      </c>
      <c r="C31" s="8">
        <f t="shared" si="3"/>
        <v>1.7897150969532922</v>
      </c>
      <c r="D31" s="8">
        <f>D22*10</f>
        <v>7120</v>
      </c>
      <c r="E31" s="8">
        <f t="shared" si="0"/>
        <v>24047.310782878154</v>
      </c>
      <c r="F31" s="8">
        <f>F30*(100%+D10)</f>
        <v>90144.86566008153</v>
      </c>
      <c r="G31" s="11">
        <f t="shared" si="1"/>
        <v>0.26676295545833756</v>
      </c>
    </row>
    <row r="32" spans="2:5" ht="12.75">
      <c r="B32" s="8"/>
      <c r="C32" s="9"/>
      <c r="D32" s="10"/>
      <c r="E32" s="8"/>
    </row>
    <row r="33" spans="1:6" ht="12.75">
      <c r="A33" t="s">
        <v>22</v>
      </c>
      <c r="B33" s="12">
        <f>NPV(D9,B22:B31)</f>
        <v>103999.99999999991</v>
      </c>
      <c r="C33" s="13">
        <f>NPV(10%,C22:C31)</f>
        <v>10.161506750417955</v>
      </c>
      <c r="D33" s="13">
        <f>NPV(10%,D22:D31)</f>
        <v>20673.567364496397</v>
      </c>
      <c r="E33" s="13">
        <f>NPV(10%,E22:E31)</f>
        <v>124683.72887124671</v>
      </c>
      <c r="F33" s="8">
        <f>SUM(F22:F31)</f>
        <v>843802.5763321884</v>
      </c>
    </row>
    <row r="34" spans="1:4" ht="12.75">
      <c r="A34" t="s">
        <v>23</v>
      </c>
      <c r="D34" s="13">
        <f>E33</f>
        <v>124683.72887124671</v>
      </c>
    </row>
    <row r="35" spans="1:4" ht="12.75">
      <c r="A35" t="s">
        <v>24</v>
      </c>
      <c r="D35" s="14">
        <f>PMT(D9,10,D34)*-1</f>
        <v>20291.702690575054</v>
      </c>
    </row>
    <row r="36" spans="1:4" ht="12.75">
      <c r="A36" t="s">
        <v>25</v>
      </c>
      <c r="D36" s="15">
        <f>D35/F33*10</f>
        <v>0.24047926920036578</v>
      </c>
    </row>
    <row r="37" spans="1:4" ht="12.75">
      <c r="A37" t="s">
        <v>26</v>
      </c>
      <c r="D37" s="15">
        <f>D36*4.547</f>
        <v>1.093459237054063</v>
      </c>
    </row>
    <row r="38" ht="12.75">
      <c r="D38" s="15"/>
    </row>
    <row r="39" ht="12.75">
      <c r="D39" s="15"/>
    </row>
    <row r="40" ht="12.75">
      <c r="D40" s="15"/>
    </row>
    <row r="42" ht="12.75">
      <c r="A42" t="s">
        <v>27</v>
      </c>
    </row>
    <row r="43" ht="12.75">
      <c r="A43" t="s">
        <v>28</v>
      </c>
    </row>
    <row r="44" ht="12.75">
      <c r="A44" t="s">
        <v>29</v>
      </c>
    </row>
    <row r="45" ht="12.75">
      <c r="A45" t="s">
        <v>30</v>
      </c>
    </row>
    <row r="53" spans="1:3" ht="12.75">
      <c r="A53" t="s">
        <v>37</v>
      </c>
      <c r="C53" t="s">
        <v>34</v>
      </c>
    </row>
    <row r="56" spans="1:2" ht="12.75">
      <c r="A56" t="s">
        <v>0</v>
      </c>
      <c r="B56" s="17" t="s">
        <v>36</v>
      </c>
    </row>
    <row r="58" ht="12.75">
      <c r="A58" t="s">
        <v>1</v>
      </c>
    </row>
    <row r="60" spans="1:4" ht="12.75">
      <c r="A60" t="s">
        <v>35</v>
      </c>
      <c r="D60">
        <v>2005</v>
      </c>
    </row>
    <row r="61" spans="1:5" ht="12.75">
      <c r="A61" t="s">
        <v>2</v>
      </c>
      <c r="D61" s="1">
        <v>0.01</v>
      </c>
      <c r="E61" s="1"/>
    </row>
    <row r="62" spans="1:6" ht="12.75">
      <c r="A62" t="s">
        <v>3</v>
      </c>
      <c r="D62" s="1">
        <v>0.1</v>
      </c>
      <c r="E62" s="1"/>
      <c r="F62" s="2">
        <f>D66*(D62/1)*(1+D62/1)^(10*1)/((1+D62/1)^(10*1)-1)</f>
        <v>16925.5210677812</v>
      </c>
    </row>
    <row r="63" spans="1:5" ht="12.75">
      <c r="A63" t="s">
        <v>4</v>
      </c>
      <c r="D63" s="1">
        <v>0.015</v>
      </c>
      <c r="E63" s="1"/>
    </row>
    <row r="64" spans="1:5" ht="12.75">
      <c r="A64" t="s">
        <v>5</v>
      </c>
      <c r="D64" s="3">
        <v>2.5</v>
      </c>
      <c r="E64" t="s">
        <v>6</v>
      </c>
    </row>
    <row r="65" spans="1:5" ht="12.75">
      <c r="A65" t="s">
        <v>7</v>
      </c>
      <c r="D65" s="4">
        <v>10</v>
      </c>
      <c r="E65" t="s">
        <v>8</v>
      </c>
    </row>
    <row r="66" spans="1:5" ht="12.75">
      <c r="A66" t="s">
        <v>9</v>
      </c>
      <c r="D66" s="5">
        <f>'Disinfectant Analysis'!D13</f>
        <v>104000</v>
      </c>
      <c r="E66" s="5"/>
    </row>
    <row r="67" spans="1:4" ht="12.75">
      <c r="A67" t="s">
        <v>10</v>
      </c>
      <c r="D67" s="2">
        <f>0.75*'Disinfectant Analysis'!D14</f>
        <v>0.9299999999999999</v>
      </c>
    </row>
    <row r="68" spans="1:4" ht="12.75">
      <c r="A68" t="s">
        <v>11</v>
      </c>
      <c r="D68" s="2">
        <v>712</v>
      </c>
    </row>
    <row r="69" spans="1:4" ht="12.75">
      <c r="A69" t="s">
        <v>12</v>
      </c>
      <c r="D69" s="2">
        <v>78840</v>
      </c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 t="s">
        <v>13</v>
      </c>
      <c r="C71" s="6"/>
      <c r="D71" s="6"/>
      <c r="E71" s="6"/>
      <c r="F71" s="6" t="s">
        <v>14</v>
      </c>
      <c r="G71" s="6" t="s">
        <v>15</v>
      </c>
    </row>
    <row r="72" spans="1:7" ht="12.75">
      <c r="A72" s="6" t="s">
        <v>16</v>
      </c>
      <c r="B72" s="6" t="s">
        <v>17</v>
      </c>
      <c r="C72" s="6" t="s">
        <v>18</v>
      </c>
      <c r="D72" s="6" t="s">
        <v>19</v>
      </c>
      <c r="E72" s="6" t="s">
        <v>20</v>
      </c>
      <c r="F72" s="6" t="s">
        <v>21</v>
      </c>
      <c r="G72" s="6" t="s">
        <v>21</v>
      </c>
    </row>
    <row r="73" spans="1:7" ht="12.75">
      <c r="A73" s="7"/>
      <c r="B73" s="7"/>
      <c r="C73" s="7"/>
      <c r="D73" s="7"/>
      <c r="E73" s="7"/>
      <c r="F73" s="7"/>
      <c r="G73" s="7"/>
    </row>
    <row r="75" spans="1:7" ht="12.75">
      <c r="A75">
        <f>D60</f>
        <v>2005</v>
      </c>
      <c r="B75" s="8">
        <f>ABS(F62)</f>
        <v>16925.5210677812</v>
      </c>
      <c r="C75" s="9">
        <f>D67</f>
        <v>0.9299999999999999</v>
      </c>
      <c r="D75" s="10">
        <f>D68</f>
        <v>712</v>
      </c>
      <c r="E75" s="8">
        <f aca="true" t="shared" si="4" ref="E75:E84">B75+C75+D75</f>
        <v>17638.4510677812</v>
      </c>
      <c r="F75" s="8">
        <f>D69</f>
        <v>78840</v>
      </c>
      <c r="G75" s="11">
        <f aca="true" t="shared" si="5" ref="G75:G84">E75/F75</f>
        <v>0.22372464571006087</v>
      </c>
    </row>
    <row r="76" spans="1:7" ht="12.75">
      <c r="A76">
        <f aca="true" t="shared" si="6" ref="A76:A84">A75+1</f>
        <v>2006</v>
      </c>
      <c r="B76" s="2">
        <f>F62</f>
        <v>16925.5210677812</v>
      </c>
      <c r="C76" s="8">
        <f>C75*1.025</f>
        <v>0.9532499999999998</v>
      </c>
      <c r="D76" s="8">
        <f>D75*2</f>
        <v>1424</v>
      </c>
      <c r="E76" s="8">
        <f t="shared" si="4"/>
        <v>18350.474317781198</v>
      </c>
      <c r="F76" s="8">
        <f>F75*(100%+D63)</f>
        <v>80022.59999999999</v>
      </c>
      <c r="G76" s="11">
        <f t="shared" si="5"/>
        <v>0.2293161471606921</v>
      </c>
    </row>
    <row r="77" spans="1:7" ht="12.75">
      <c r="A77">
        <f t="shared" si="6"/>
        <v>2007</v>
      </c>
      <c r="B77" s="8">
        <f>F62</f>
        <v>16925.5210677812</v>
      </c>
      <c r="C77" s="8">
        <f aca="true" t="shared" si="7" ref="C77:C84">C76*1.015</f>
        <v>0.9675487499999997</v>
      </c>
      <c r="D77" s="8">
        <f>D75*3</f>
        <v>2136</v>
      </c>
      <c r="E77" s="8">
        <f t="shared" si="4"/>
        <v>19062.4886165312</v>
      </c>
      <c r="F77" s="8">
        <f>F76*(100%+D63)</f>
        <v>81222.93899999998</v>
      </c>
      <c r="G77" s="11">
        <f t="shared" si="5"/>
        <v>0.23469341113759995</v>
      </c>
    </row>
    <row r="78" spans="1:7" ht="12.75">
      <c r="A78">
        <f t="shared" si="6"/>
        <v>2008</v>
      </c>
      <c r="B78" s="8">
        <f>F62</f>
        <v>16925.5210677812</v>
      </c>
      <c r="C78" s="8">
        <f t="shared" si="7"/>
        <v>0.9820619812499997</v>
      </c>
      <c r="D78" s="8">
        <f>D75*4</f>
        <v>2848</v>
      </c>
      <c r="E78" s="8">
        <f t="shared" si="4"/>
        <v>19774.50312976245</v>
      </c>
      <c r="F78" s="8">
        <f>F77*(100%+D63)</f>
        <v>82441.28308499997</v>
      </c>
      <c r="G78" s="11">
        <f t="shared" si="5"/>
        <v>0.23986166141269555</v>
      </c>
    </row>
    <row r="79" spans="1:7" ht="12.75">
      <c r="A79">
        <f t="shared" si="6"/>
        <v>2009</v>
      </c>
      <c r="B79" s="8">
        <f>F62</f>
        <v>16925.5210677812</v>
      </c>
      <c r="C79" s="8">
        <f t="shared" si="7"/>
        <v>0.9967929109687496</v>
      </c>
      <c r="D79" s="10">
        <f>D75*5</f>
        <v>3560</v>
      </c>
      <c r="E79" s="8">
        <f t="shared" si="4"/>
        <v>20486.51786069217</v>
      </c>
      <c r="F79" s="8">
        <f>F78*(100%+D63)</f>
        <v>83677.90233127496</v>
      </c>
      <c r="G79" s="11">
        <f t="shared" si="5"/>
        <v>0.2448259013423577</v>
      </c>
    </row>
    <row r="80" spans="1:7" ht="12.75">
      <c r="A80">
        <f t="shared" si="6"/>
        <v>2010</v>
      </c>
      <c r="B80" s="8">
        <f>F62</f>
        <v>16925.5210677812</v>
      </c>
      <c r="C80" s="8">
        <f t="shared" si="7"/>
        <v>1.0117448046332806</v>
      </c>
      <c r="D80" s="8">
        <f>D75*6</f>
        <v>4272</v>
      </c>
      <c r="E80" s="8">
        <f t="shared" si="4"/>
        <v>21198.532812585832</v>
      </c>
      <c r="F80" s="8">
        <f>F79*(100%+D63)</f>
        <v>84933.07086624407</v>
      </c>
      <c r="G80" s="11">
        <f t="shared" si="5"/>
        <v>0.2495910320488719</v>
      </c>
    </row>
    <row r="81" spans="1:7" ht="12.75">
      <c r="A81">
        <f t="shared" si="6"/>
        <v>2011</v>
      </c>
      <c r="B81" s="8">
        <f>F62</f>
        <v>16925.5210677812</v>
      </c>
      <c r="C81" s="8">
        <f t="shared" si="7"/>
        <v>1.0269209767027798</v>
      </c>
      <c r="D81" s="8">
        <f>D75*7</f>
        <v>4984</v>
      </c>
      <c r="E81" s="8">
        <f t="shared" si="4"/>
        <v>21910.547988757902</v>
      </c>
      <c r="F81" s="8">
        <f>F80*(100%+D63)</f>
        <v>86207.06692923773</v>
      </c>
      <c r="G81" s="11">
        <f t="shared" si="5"/>
        <v>0.2541618543494001</v>
      </c>
    </row>
    <row r="82" spans="1:7" ht="12.75">
      <c r="A82">
        <f t="shared" si="6"/>
        <v>2012</v>
      </c>
      <c r="B82" s="8">
        <f>F62</f>
        <v>16925.5210677812</v>
      </c>
      <c r="C82" s="8">
        <f t="shared" si="7"/>
        <v>1.0423247913533213</v>
      </c>
      <c r="D82" s="8">
        <f>D75*8</f>
        <v>5696</v>
      </c>
      <c r="E82" s="8">
        <f t="shared" si="4"/>
        <v>22622.563392572552</v>
      </c>
      <c r="F82" s="8">
        <f>F81*(100%+D63)</f>
        <v>87500.17293317629</v>
      </c>
      <c r="G82" s="11">
        <f t="shared" si="5"/>
        <v>0.25854307065026444</v>
      </c>
    </row>
    <row r="83" spans="1:7" ht="12.75">
      <c r="A83">
        <f t="shared" si="6"/>
        <v>2013</v>
      </c>
      <c r="B83" s="8">
        <f>F62</f>
        <v>16925.5210677812</v>
      </c>
      <c r="C83" s="8">
        <f t="shared" si="7"/>
        <v>1.057959663223621</v>
      </c>
      <c r="D83" s="8">
        <f>D75*9</f>
        <v>6408</v>
      </c>
      <c r="E83" s="8">
        <f t="shared" si="4"/>
        <v>23334.579027444423</v>
      </c>
      <c r="F83" s="8">
        <f>F82*(100%+D63)</f>
        <v>88812.67552717392</v>
      </c>
      <c r="G83" s="11">
        <f t="shared" si="5"/>
        <v>0.2627392868071491</v>
      </c>
    </row>
    <row r="84" spans="1:7" ht="12.75">
      <c r="A84">
        <f t="shared" si="6"/>
        <v>2014</v>
      </c>
      <c r="B84" s="8">
        <f>F62</f>
        <v>16925.5210677812</v>
      </c>
      <c r="C84" s="8">
        <f t="shared" si="7"/>
        <v>1.0738290581719752</v>
      </c>
      <c r="D84" s="8">
        <f>D75*10</f>
        <v>7120</v>
      </c>
      <c r="E84" s="8">
        <f t="shared" si="4"/>
        <v>24046.59489683937</v>
      </c>
      <c r="F84" s="8">
        <f>F83*(100%+D63)</f>
        <v>90144.86566008153</v>
      </c>
      <c r="G84" s="11">
        <f t="shared" si="5"/>
        <v>0.26675501395181317</v>
      </c>
    </row>
    <row r="85" spans="2:5" ht="12.75">
      <c r="B85" s="8"/>
      <c r="C85" s="9"/>
      <c r="D85" s="10"/>
      <c r="E85" s="8"/>
    </row>
    <row r="86" spans="1:6" ht="12.75">
      <c r="A86" t="s">
        <v>22</v>
      </c>
      <c r="B86" s="12">
        <f>NPV(D62,B75:B84)</f>
        <v>103999.99999999991</v>
      </c>
      <c r="C86" s="13">
        <f>NPV(10%,C75:C84)</f>
        <v>6.096904050250772</v>
      </c>
      <c r="D86" s="13">
        <f>NPV(10%,D75:D84)</f>
        <v>20673.567364496397</v>
      </c>
      <c r="E86" s="13">
        <f>NPV(10%,E75:E84)</f>
        <v>124679.66426854656</v>
      </c>
      <c r="F86" s="8">
        <f>SUM(F75:F84)</f>
        <v>843802.5763321884</v>
      </c>
    </row>
    <row r="87" spans="1:4" ht="12.75">
      <c r="A87" t="s">
        <v>23</v>
      </c>
      <c r="D87" s="13">
        <f>E86</f>
        <v>124679.66426854656</v>
      </c>
    </row>
    <row r="88" spans="1:4" ht="12.75">
      <c r="A88" t="s">
        <v>24</v>
      </c>
      <c r="D88" s="14">
        <f>PMT(D62,10,D87)*-1</f>
        <v>20291.041195203576</v>
      </c>
    </row>
    <row r="89" spans="1:4" ht="12.75">
      <c r="A89" t="s">
        <v>25</v>
      </c>
      <c r="D89" s="15">
        <f>D88/F86*10</f>
        <v>0.24047142974371996</v>
      </c>
    </row>
    <row r="90" spans="1:4" ht="12.75">
      <c r="A90" t="s">
        <v>26</v>
      </c>
      <c r="D90" s="15">
        <f>D89*4.547</f>
        <v>1.0934235910446946</v>
      </c>
    </row>
    <row r="91" ht="12.75">
      <c r="D91" s="15"/>
    </row>
    <row r="92" ht="12.75">
      <c r="D92" s="15"/>
    </row>
    <row r="93" ht="12.75">
      <c r="D93" s="15"/>
    </row>
    <row r="95" ht="12.75">
      <c r="A95" t="s">
        <v>27</v>
      </c>
    </row>
    <row r="96" ht="12.75">
      <c r="A96" t="s">
        <v>28</v>
      </c>
    </row>
    <row r="97" ht="12.75">
      <c r="A97" t="s">
        <v>29</v>
      </c>
    </row>
    <row r="98" ht="12.75">
      <c r="A98" t="s">
        <v>30</v>
      </c>
    </row>
    <row r="105" spans="1:3" ht="12.75">
      <c r="A105" t="s">
        <v>37</v>
      </c>
      <c r="C105" t="s">
        <v>33</v>
      </c>
    </row>
    <row r="108" spans="1:2" ht="12.75">
      <c r="A108" t="s">
        <v>0</v>
      </c>
      <c r="B108" t="str">
        <f>B56</f>
        <v>AnyTown</v>
      </c>
    </row>
    <row r="110" ht="12.75">
      <c r="A110" t="s">
        <v>31</v>
      </c>
    </row>
    <row r="113" spans="1:5" ht="12.75">
      <c r="A113" t="s">
        <v>2</v>
      </c>
      <c r="D113" s="1">
        <v>0.01</v>
      </c>
      <c r="E113" s="1"/>
    </row>
    <row r="114" spans="1:6" ht="12.75">
      <c r="A114" t="s">
        <v>3</v>
      </c>
      <c r="D114" s="1">
        <v>0.1</v>
      </c>
      <c r="E114" s="1"/>
      <c r="F114" s="2" t="e">
        <f>D118*(D114/1)*(1+D114/1)^(10*1)/((1+D114/1)^(10*1)-1)</f>
        <v>#REF!</v>
      </c>
    </row>
    <row r="115" spans="1:5" ht="12.75">
      <c r="A115" t="s">
        <v>4</v>
      </c>
      <c r="D115" s="1">
        <v>0.015</v>
      </c>
      <c r="E115" s="1"/>
    </row>
    <row r="116" spans="1:5" ht="12.75">
      <c r="A116" t="s">
        <v>5</v>
      </c>
      <c r="D116" s="3">
        <v>2.5</v>
      </c>
      <c r="E116" t="s">
        <v>32</v>
      </c>
    </row>
    <row r="117" spans="1:5" ht="12.75">
      <c r="A117" t="s">
        <v>7</v>
      </c>
      <c r="D117" s="4">
        <v>10</v>
      </c>
      <c r="E117" t="s">
        <v>8</v>
      </c>
    </row>
    <row r="118" spans="1:5" ht="12.75">
      <c r="A118" t="s">
        <v>9</v>
      </c>
      <c r="D118" s="5" t="e">
        <f>'Disinfectant Analysis'!#REF!</f>
        <v>#REF!</v>
      </c>
      <c r="E118" s="5"/>
    </row>
    <row r="119" spans="1:4" ht="12.75">
      <c r="A119" t="s">
        <v>10</v>
      </c>
      <c r="D119" s="2" t="e">
        <f>'Disinfectant Analysis'!#REF!*1.25</f>
        <v>#REF!</v>
      </c>
    </row>
    <row r="120" spans="1:4" ht="12.75">
      <c r="A120" t="s">
        <v>11</v>
      </c>
      <c r="D120" s="2">
        <v>909</v>
      </c>
    </row>
    <row r="121" spans="1:4" ht="12.75">
      <c r="A121" t="s">
        <v>12</v>
      </c>
      <c r="D121" s="2">
        <v>78840</v>
      </c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 t="s">
        <v>13</v>
      </c>
      <c r="C123" s="6"/>
      <c r="D123" s="6"/>
      <c r="E123" s="6"/>
      <c r="F123" s="6" t="s">
        <v>14</v>
      </c>
      <c r="G123" s="6" t="s">
        <v>15</v>
      </c>
    </row>
    <row r="124" spans="1:7" ht="12.75">
      <c r="A124" s="6" t="s">
        <v>16</v>
      </c>
      <c r="B124" s="6" t="s">
        <v>17</v>
      </c>
      <c r="C124" s="6" t="s">
        <v>18</v>
      </c>
      <c r="D124" s="6" t="s">
        <v>19</v>
      </c>
      <c r="E124" s="6" t="s">
        <v>20</v>
      </c>
      <c r="F124" s="6" t="s">
        <v>21</v>
      </c>
      <c r="G124" s="6" t="s">
        <v>21</v>
      </c>
    </row>
    <row r="125" spans="1:7" ht="12.75">
      <c r="A125" s="7"/>
      <c r="B125" s="7"/>
      <c r="C125" s="7"/>
      <c r="D125" s="7"/>
      <c r="E125" s="7"/>
      <c r="F125" s="7"/>
      <c r="G125" s="7"/>
    </row>
    <row r="127" spans="1:7" ht="12.75">
      <c r="A127">
        <f>D60</f>
        <v>2005</v>
      </c>
      <c r="B127" s="8" t="e">
        <f>ABS(F114)</f>
        <v>#REF!</v>
      </c>
      <c r="C127" s="9" t="e">
        <f>D119</f>
        <v>#REF!</v>
      </c>
      <c r="D127" s="10">
        <f>D120</f>
        <v>909</v>
      </c>
      <c r="E127" s="8" t="e">
        <f aca="true" t="shared" si="8" ref="E127:E136">B127+C127+D127</f>
        <v>#REF!</v>
      </c>
      <c r="F127" s="8">
        <f>D121</f>
        <v>78840</v>
      </c>
      <c r="G127" s="11" t="e">
        <f aca="true" t="shared" si="9" ref="G127:G136">E127/F127</f>
        <v>#REF!</v>
      </c>
    </row>
    <row r="128" spans="1:7" ht="12.75">
      <c r="A128">
        <f aca="true" t="shared" si="10" ref="A128:A136">A127+1</f>
        <v>2006</v>
      </c>
      <c r="B128" s="2" t="e">
        <f>F114</f>
        <v>#REF!</v>
      </c>
      <c r="C128" s="8" t="e">
        <f>C127*1.025</f>
        <v>#REF!</v>
      </c>
      <c r="D128" s="8">
        <f>D127*2</f>
        <v>1818</v>
      </c>
      <c r="E128" s="8" t="e">
        <f t="shared" si="8"/>
        <v>#REF!</v>
      </c>
      <c r="F128" s="8">
        <f>F127*(100%+D115)</f>
        <v>80022.59999999999</v>
      </c>
      <c r="G128" s="11" t="e">
        <f t="shared" si="9"/>
        <v>#REF!</v>
      </c>
    </row>
    <row r="129" spans="1:7" ht="12.75">
      <c r="A129">
        <f t="shared" si="10"/>
        <v>2007</v>
      </c>
      <c r="B129" s="8" t="e">
        <f>F114</f>
        <v>#REF!</v>
      </c>
      <c r="C129" s="8" t="e">
        <f aca="true" t="shared" si="11" ref="C129:C136">C128*1.015</f>
        <v>#REF!</v>
      </c>
      <c r="D129" s="8">
        <f>D127*3</f>
        <v>2727</v>
      </c>
      <c r="E129" s="8" t="e">
        <f t="shared" si="8"/>
        <v>#REF!</v>
      </c>
      <c r="F129" s="8">
        <f>F128*(100%+D115)</f>
        <v>81222.93899999998</v>
      </c>
      <c r="G129" s="11" t="e">
        <f t="shared" si="9"/>
        <v>#REF!</v>
      </c>
    </row>
    <row r="130" spans="1:7" ht="12.75">
      <c r="A130">
        <f t="shared" si="10"/>
        <v>2008</v>
      </c>
      <c r="B130" s="8" t="e">
        <f>F114</f>
        <v>#REF!</v>
      </c>
      <c r="C130" s="8" t="e">
        <f t="shared" si="11"/>
        <v>#REF!</v>
      </c>
      <c r="D130" s="8">
        <f>D127*4</f>
        <v>3636</v>
      </c>
      <c r="E130" s="8" t="e">
        <f t="shared" si="8"/>
        <v>#REF!</v>
      </c>
      <c r="F130" s="8">
        <f>F129*(100%+D115)</f>
        <v>82441.28308499997</v>
      </c>
      <c r="G130" s="11" t="e">
        <f t="shared" si="9"/>
        <v>#REF!</v>
      </c>
    </row>
    <row r="131" spans="1:7" ht="12.75">
      <c r="A131">
        <f t="shared" si="10"/>
        <v>2009</v>
      </c>
      <c r="B131" s="8" t="e">
        <f>F114</f>
        <v>#REF!</v>
      </c>
      <c r="C131" s="8" t="e">
        <f t="shared" si="11"/>
        <v>#REF!</v>
      </c>
      <c r="D131" s="10">
        <f>D127*5</f>
        <v>4545</v>
      </c>
      <c r="E131" s="8" t="e">
        <f t="shared" si="8"/>
        <v>#REF!</v>
      </c>
      <c r="F131" s="8">
        <f>F130*(100%+D115)</f>
        <v>83677.90233127496</v>
      </c>
      <c r="G131" s="11" t="e">
        <f t="shared" si="9"/>
        <v>#REF!</v>
      </c>
    </row>
    <row r="132" spans="1:7" ht="12.75">
      <c r="A132">
        <f t="shared" si="10"/>
        <v>2010</v>
      </c>
      <c r="B132" s="8" t="e">
        <f>F114</f>
        <v>#REF!</v>
      </c>
      <c r="C132" s="8" t="e">
        <f t="shared" si="11"/>
        <v>#REF!</v>
      </c>
      <c r="D132" s="8">
        <f>D127*6</f>
        <v>5454</v>
      </c>
      <c r="E132" s="8" t="e">
        <f t="shared" si="8"/>
        <v>#REF!</v>
      </c>
      <c r="F132" s="8">
        <f>F131*(100%+D115)</f>
        <v>84933.07086624407</v>
      </c>
      <c r="G132" s="11" t="e">
        <f t="shared" si="9"/>
        <v>#REF!</v>
      </c>
    </row>
    <row r="133" spans="1:7" ht="12.75">
      <c r="A133">
        <f t="shared" si="10"/>
        <v>2011</v>
      </c>
      <c r="B133" s="8" t="e">
        <f>F114</f>
        <v>#REF!</v>
      </c>
      <c r="C133" s="8" t="e">
        <f t="shared" si="11"/>
        <v>#REF!</v>
      </c>
      <c r="D133" s="8">
        <f>D127*7</f>
        <v>6363</v>
      </c>
      <c r="E133" s="8" t="e">
        <f t="shared" si="8"/>
        <v>#REF!</v>
      </c>
      <c r="F133" s="8">
        <f>F132*(100%+D115)</f>
        <v>86207.06692923773</v>
      </c>
      <c r="G133" s="11" t="e">
        <f t="shared" si="9"/>
        <v>#REF!</v>
      </c>
    </row>
    <row r="134" spans="1:7" ht="12.75">
      <c r="A134">
        <f t="shared" si="10"/>
        <v>2012</v>
      </c>
      <c r="B134" s="8" t="e">
        <f>F114</f>
        <v>#REF!</v>
      </c>
      <c r="C134" s="8" t="e">
        <f t="shared" si="11"/>
        <v>#REF!</v>
      </c>
      <c r="D134" s="8">
        <f>D127*8</f>
        <v>7272</v>
      </c>
      <c r="E134" s="8" t="e">
        <f t="shared" si="8"/>
        <v>#REF!</v>
      </c>
      <c r="F134" s="8">
        <f>F133*(100%+D115)</f>
        <v>87500.17293317629</v>
      </c>
      <c r="G134" s="11" t="e">
        <f t="shared" si="9"/>
        <v>#REF!</v>
      </c>
    </row>
    <row r="135" spans="1:7" ht="12.75">
      <c r="A135">
        <f t="shared" si="10"/>
        <v>2013</v>
      </c>
      <c r="B135" s="8" t="e">
        <f>F114</f>
        <v>#REF!</v>
      </c>
      <c r="C135" s="8" t="e">
        <f t="shared" si="11"/>
        <v>#REF!</v>
      </c>
      <c r="D135" s="8">
        <f>D127*9</f>
        <v>8181</v>
      </c>
      <c r="E135" s="8" t="e">
        <f t="shared" si="8"/>
        <v>#REF!</v>
      </c>
      <c r="F135" s="8">
        <f>F134*(100%+D115)</f>
        <v>88812.67552717392</v>
      </c>
      <c r="G135" s="11" t="e">
        <f t="shared" si="9"/>
        <v>#REF!</v>
      </c>
    </row>
    <row r="136" spans="1:7" ht="12.75">
      <c r="A136">
        <f t="shared" si="10"/>
        <v>2014</v>
      </c>
      <c r="B136" s="8" t="e">
        <f>F114</f>
        <v>#REF!</v>
      </c>
      <c r="C136" s="8" t="e">
        <f t="shared" si="11"/>
        <v>#REF!</v>
      </c>
      <c r="D136" s="8">
        <f>D127*10</f>
        <v>9090</v>
      </c>
      <c r="E136" s="8" t="e">
        <f t="shared" si="8"/>
        <v>#REF!</v>
      </c>
      <c r="F136" s="8">
        <f>F135*(100%+D115)</f>
        <v>90144.86566008153</v>
      </c>
      <c r="G136" s="11" t="e">
        <f t="shared" si="9"/>
        <v>#REF!</v>
      </c>
    </row>
    <row r="137" spans="2:5" ht="12.75">
      <c r="B137" s="8"/>
      <c r="C137" s="9"/>
      <c r="D137" s="10"/>
      <c r="E137" s="8"/>
    </row>
    <row r="138" spans="1:6" ht="12.75">
      <c r="A138" t="s">
        <v>22</v>
      </c>
      <c r="B138" s="12" t="e">
        <f>NPV(D114,B127:B136)</f>
        <v>#REF!</v>
      </c>
      <c r="C138" s="13" t="e">
        <f>NPV(10%,C127:C136)</f>
        <v>#REF!</v>
      </c>
      <c r="D138" s="13">
        <f>NPV(10%,D127:D136)</f>
        <v>26393.64148079667</v>
      </c>
      <c r="E138" s="13" t="e">
        <f>NPV(10%,E127:E136)</f>
        <v>#REF!</v>
      </c>
      <c r="F138" s="8">
        <f>SUM(F127:F136)</f>
        <v>843802.5763321884</v>
      </c>
    </row>
    <row r="139" spans="1:4" ht="12.75">
      <c r="A139" t="s">
        <v>23</v>
      </c>
      <c r="D139" s="13" t="e">
        <f>E138</f>
        <v>#REF!</v>
      </c>
    </row>
    <row r="140" spans="1:4" ht="12.75">
      <c r="A140" t="s">
        <v>24</v>
      </c>
      <c r="D140" s="14" t="e">
        <f>PMT(D114,10,D139)*-1</f>
        <v>#REF!</v>
      </c>
    </row>
    <row r="141" spans="1:4" ht="12.75">
      <c r="A141" t="s">
        <v>25</v>
      </c>
      <c r="D141" s="15" t="e">
        <f>D140/F138*10</f>
        <v>#REF!</v>
      </c>
    </row>
    <row r="142" spans="1:6" ht="12.75">
      <c r="A142" t="s">
        <v>26</v>
      </c>
      <c r="D142" s="15" t="e">
        <f>D141*4.547</f>
        <v>#REF!</v>
      </c>
      <c r="F142" s="16"/>
    </row>
    <row r="146" ht="12.75">
      <c r="A146" t="s">
        <v>27</v>
      </c>
    </row>
    <row r="147" ht="12.75">
      <c r="A147" t="s">
        <v>28</v>
      </c>
    </row>
    <row r="148" ht="12.75">
      <c r="A148" t="s">
        <v>29</v>
      </c>
    </row>
    <row r="149" ht="12.75">
      <c r="A149" t="s">
        <v>30</v>
      </c>
    </row>
    <row r="157" spans="1:3" ht="12.75">
      <c r="A157" t="s">
        <v>37</v>
      </c>
      <c r="C157" t="s">
        <v>34</v>
      </c>
    </row>
    <row r="159" spans="1:2" ht="12.75">
      <c r="A159" t="s">
        <v>0</v>
      </c>
      <c r="B159" t="e">
        <f>'Disinfectant Analysis'!#REF!</f>
        <v>#REF!</v>
      </c>
    </row>
    <row r="161" ht="12.75">
      <c r="A161" t="s">
        <v>31</v>
      </c>
    </row>
    <row r="164" spans="1:5" ht="12.75">
      <c r="A164" t="s">
        <v>2</v>
      </c>
      <c r="D164" s="1">
        <v>0.01</v>
      </c>
      <c r="E164" s="1"/>
    </row>
    <row r="165" spans="1:6" ht="12.75">
      <c r="A165" t="s">
        <v>3</v>
      </c>
      <c r="D165" s="1">
        <v>0.1</v>
      </c>
      <c r="E165" s="1"/>
      <c r="F165" s="2" t="e">
        <f>D169*(D165/1)*(1+D165/1)^(10*1)/((1+D165/1)^(10*1)-1)</f>
        <v>#REF!</v>
      </c>
    </row>
    <row r="166" spans="1:5" ht="12.75">
      <c r="A166" t="s">
        <v>4</v>
      </c>
      <c r="D166" s="1">
        <v>0.015</v>
      </c>
      <c r="E166" s="1"/>
    </row>
    <row r="167" spans="1:5" ht="12.75">
      <c r="A167" t="s">
        <v>5</v>
      </c>
      <c r="D167" s="3">
        <v>2.5</v>
      </c>
      <c r="E167" t="s">
        <v>32</v>
      </c>
    </row>
    <row r="168" spans="1:5" ht="12.75">
      <c r="A168" t="s">
        <v>7</v>
      </c>
      <c r="D168" s="4">
        <v>10</v>
      </c>
      <c r="E168" t="s">
        <v>8</v>
      </c>
    </row>
    <row r="169" spans="1:5" ht="12.75">
      <c r="A169" t="s">
        <v>9</v>
      </c>
      <c r="D169" s="5" t="e">
        <f>'Disinfectant Analysis'!#REF!</f>
        <v>#REF!</v>
      </c>
      <c r="E169" s="5"/>
    </row>
    <row r="170" spans="1:4" ht="12.75">
      <c r="A170" t="s">
        <v>10</v>
      </c>
      <c r="D170" s="2" t="e">
        <f>'Disinfectant Analysis'!#REF!*0.75</f>
        <v>#REF!</v>
      </c>
    </row>
    <row r="171" spans="1:4" ht="12.75">
      <c r="A171" t="s">
        <v>11</v>
      </c>
      <c r="D171" s="2">
        <v>909</v>
      </c>
    </row>
    <row r="172" spans="1:4" ht="12.75">
      <c r="A172" t="s">
        <v>12</v>
      </c>
      <c r="D172" s="2">
        <v>78840</v>
      </c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 t="s">
        <v>13</v>
      </c>
      <c r="C174" s="6"/>
      <c r="D174" s="6"/>
      <c r="E174" s="6"/>
      <c r="F174" s="6" t="s">
        <v>14</v>
      </c>
      <c r="G174" s="6" t="s">
        <v>15</v>
      </c>
    </row>
    <row r="175" spans="1:7" ht="12.75">
      <c r="A175" s="6" t="s">
        <v>16</v>
      </c>
      <c r="B175" s="6" t="s">
        <v>17</v>
      </c>
      <c r="C175" s="6" t="s">
        <v>18</v>
      </c>
      <c r="D175" s="6" t="s">
        <v>19</v>
      </c>
      <c r="E175" s="6" t="s">
        <v>20</v>
      </c>
      <c r="F175" s="6" t="s">
        <v>21</v>
      </c>
      <c r="G175" s="6" t="s">
        <v>21</v>
      </c>
    </row>
    <row r="176" spans="1:7" ht="12.75">
      <c r="A176" s="7"/>
      <c r="B176" s="7"/>
      <c r="C176" s="7"/>
      <c r="D176" s="7"/>
      <c r="E176" s="7"/>
      <c r="F176" s="7"/>
      <c r="G176" s="7"/>
    </row>
    <row r="178" spans="1:7" ht="12.75">
      <c r="A178">
        <f>D111</f>
        <v>0</v>
      </c>
      <c r="B178" s="8" t="e">
        <f>ABS(F165)</f>
        <v>#REF!</v>
      </c>
      <c r="C178" s="9" t="e">
        <f>D170</f>
        <v>#REF!</v>
      </c>
      <c r="D178" s="10">
        <f>D171</f>
        <v>909</v>
      </c>
      <c r="E178" s="8" t="e">
        <f aca="true" t="shared" si="12" ref="E178:E187">B178+C178+D178</f>
        <v>#REF!</v>
      </c>
      <c r="F178" s="8">
        <f>D172</f>
        <v>78840</v>
      </c>
      <c r="G178" s="11" t="e">
        <f aca="true" t="shared" si="13" ref="G178:G187">E178/F178</f>
        <v>#REF!</v>
      </c>
    </row>
    <row r="179" spans="1:7" ht="12.75">
      <c r="A179">
        <f aca="true" t="shared" si="14" ref="A179:A187">A178+1</f>
        <v>1</v>
      </c>
      <c r="B179" s="2" t="e">
        <f>F165</f>
        <v>#REF!</v>
      </c>
      <c r="C179" s="8" t="e">
        <f>C178*1.025</f>
        <v>#REF!</v>
      </c>
      <c r="D179" s="8">
        <f>D178*2</f>
        <v>1818</v>
      </c>
      <c r="E179" s="8" t="e">
        <f t="shared" si="12"/>
        <v>#REF!</v>
      </c>
      <c r="F179" s="8">
        <f>F178*(100%+D166)</f>
        <v>80022.59999999999</v>
      </c>
      <c r="G179" s="11" t="e">
        <f t="shared" si="13"/>
        <v>#REF!</v>
      </c>
    </row>
    <row r="180" spans="1:7" ht="12.75">
      <c r="A180">
        <f t="shared" si="14"/>
        <v>2</v>
      </c>
      <c r="B180" s="8" t="e">
        <f>F165</f>
        <v>#REF!</v>
      </c>
      <c r="C180" s="8" t="e">
        <f aca="true" t="shared" si="15" ref="C180:C187">C179*1.015</f>
        <v>#REF!</v>
      </c>
      <c r="D180" s="8">
        <f>D178*3</f>
        <v>2727</v>
      </c>
      <c r="E180" s="8" t="e">
        <f t="shared" si="12"/>
        <v>#REF!</v>
      </c>
      <c r="F180" s="8">
        <f>F179*(100%+D166)</f>
        <v>81222.93899999998</v>
      </c>
      <c r="G180" s="11" t="e">
        <f t="shared" si="13"/>
        <v>#REF!</v>
      </c>
    </row>
    <row r="181" spans="1:7" ht="12.75">
      <c r="A181">
        <f t="shared" si="14"/>
        <v>3</v>
      </c>
      <c r="B181" s="8" t="e">
        <f>F165</f>
        <v>#REF!</v>
      </c>
      <c r="C181" s="8" t="e">
        <f t="shared" si="15"/>
        <v>#REF!</v>
      </c>
      <c r="D181" s="8">
        <f>D178*4</f>
        <v>3636</v>
      </c>
      <c r="E181" s="8" t="e">
        <f t="shared" si="12"/>
        <v>#REF!</v>
      </c>
      <c r="F181" s="8">
        <f>F180*(100%+D166)</f>
        <v>82441.28308499997</v>
      </c>
      <c r="G181" s="11" t="e">
        <f t="shared" si="13"/>
        <v>#REF!</v>
      </c>
    </row>
    <row r="182" spans="1:7" ht="12.75">
      <c r="A182">
        <f t="shared" si="14"/>
        <v>4</v>
      </c>
      <c r="B182" s="8" t="e">
        <f>F165</f>
        <v>#REF!</v>
      </c>
      <c r="C182" s="8" t="e">
        <f t="shared" si="15"/>
        <v>#REF!</v>
      </c>
      <c r="D182" s="10">
        <f>D178*5</f>
        <v>4545</v>
      </c>
      <c r="E182" s="8" t="e">
        <f t="shared" si="12"/>
        <v>#REF!</v>
      </c>
      <c r="F182" s="8">
        <f>F181*(100%+D166)</f>
        <v>83677.90233127496</v>
      </c>
      <c r="G182" s="11" t="e">
        <f t="shared" si="13"/>
        <v>#REF!</v>
      </c>
    </row>
    <row r="183" spans="1:7" ht="12.75">
      <c r="A183">
        <f t="shared" si="14"/>
        <v>5</v>
      </c>
      <c r="B183" s="8" t="e">
        <f>F165</f>
        <v>#REF!</v>
      </c>
      <c r="C183" s="8" t="e">
        <f t="shared" si="15"/>
        <v>#REF!</v>
      </c>
      <c r="D183" s="8">
        <f>D178*6</f>
        <v>5454</v>
      </c>
      <c r="E183" s="8" t="e">
        <f t="shared" si="12"/>
        <v>#REF!</v>
      </c>
      <c r="F183" s="8">
        <f>F182*(100%+D166)</f>
        <v>84933.07086624407</v>
      </c>
      <c r="G183" s="11" t="e">
        <f t="shared" si="13"/>
        <v>#REF!</v>
      </c>
    </row>
    <row r="184" spans="1:7" ht="12.75">
      <c r="A184">
        <f t="shared" si="14"/>
        <v>6</v>
      </c>
      <c r="B184" s="8" t="e">
        <f>F165</f>
        <v>#REF!</v>
      </c>
      <c r="C184" s="8" t="e">
        <f t="shared" si="15"/>
        <v>#REF!</v>
      </c>
      <c r="D184" s="8">
        <f>D178*7</f>
        <v>6363</v>
      </c>
      <c r="E184" s="8" t="e">
        <f t="shared" si="12"/>
        <v>#REF!</v>
      </c>
      <c r="F184" s="8">
        <f>F183*(100%+D166)</f>
        <v>86207.06692923773</v>
      </c>
      <c r="G184" s="11" t="e">
        <f t="shared" si="13"/>
        <v>#REF!</v>
      </c>
    </row>
    <row r="185" spans="1:7" ht="12.75">
      <c r="A185">
        <f t="shared" si="14"/>
        <v>7</v>
      </c>
      <c r="B185" s="8" t="e">
        <f>F165</f>
        <v>#REF!</v>
      </c>
      <c r="C185" s="8" t="e">
        <f t="shared" si="15"/>
        <v>#REF!</v>
      </c>
      <c r="D185" s="8">
        <f>D178*8</f>
        <v>7272</v>
      </c>
      <c r="E185" s="8" t="e">
        <f t="shared" si="12"/>
        <v>#REF!</v>
      </c>
      <c r="F185" s="8">
        <f>F184*(100%+D166)</f>
        <v>87500.17293317629</v>
      </c>
      <c r="G185" s="11" t="e">
        <f t="shared" si="13"/>
        <v>#REF!</v>
      </c>
    </row>
    <row r="186" spans="1:7" ht="12.75">
      <c r="A186">
        <f t="shared" si="14"/>
        <v>8</v>
      </c>
      <c r="B186" s="8" t="e">
        <f>F165</f>
        <v>#REF!</v>
      </c>
      <c r="C186" s="8" t="e">
        <f t="shared" si="15"/>
        <v>#REF!</v>
      </c>
      <c r="D186" s="8">
        <f>D178*9</f>
        <v>8181</v>
      </c>
      <c r="E186" s="8" t="e">
        <f t="shared" si="12"/>
        <v>#REF!</v>
      </c>
      <c r="F186" s="8">
        <f>F185*(100%+D166)</f>
        <v>88812.67552717392</v>
      </c>
      <c r="G186" s="11" t="e">
        <f t="shared" si="13"/>
        <v>#REF!</v>
      </c>
    </row>
    <row r="187" spans="1:7" ht="12.75">
      <c r="A187">
        <f t="shared" si="14"/>
        <v>9</v>
      </c>
      <c r="B187" s="8" t="e">
        <f>F165</f>
        <v>#REF!</v>
      </c>
      <c r="C187" s="8" t="e">
        <f t="shared" si="15"/>
        <v>#REF!</v>
      </c>
      <c r="D187" s="8">
        <f>D178*10</f>
        <v>9090</v>
      </c>
      <c r="E187" s="8" t="e">
        <f t="shared" si="12"/>
        <v>#REF!</v>
      </c>
      <c r="F187" s="8">
        <f>F186*(100%+D166)</f>
        <v>90144.86566008153</v>
      </c>
      <c r="G187" s="11" t="e">
        <f t="shared" si="13"/>
        <v>#REF!</v>
      </c>
    </row>
    <row r="188" spans="2:5" ht="12.75">
      <c r="B188" s="8"/>
      <c r="C188" s="9"/>
      <c r="D188" s="10"/>
      <c r="E188" s="8"/>
    </row>
    <row r="189" spans="1:6" ht="12.75">
      <c r="A189" t="s">
        <v>22</v>
      </c>
      <c r="B189" s="12" t="e">
        <f>NPV(D165,B178:B187)</f>
        <v>#REF!</v>
      </c>
      <c r="C189" s="13" t="e">
        <f>NPV(10%,C178:C187)</f>
        <v>#REF!</v>
      </c>
      <c r="D189" s="13">
        <f>NPV(10%,D178:D187)</f>
        <v>26393.64148079667</v>
      </c>
      <c r="E189" s="13" t="e">
        <f>NPV(10%,E178:E187)</f>
        <v>#REF!</v>
      </c>
      <c r="F189" s="8">
        <f>SUM(F178:F187)</f>
        <v>843802.5763321884</v>
      </c>
    </row>
    <row r="190" spans="1:4" ht="12.75">
      <c r="A190" t="s">
        <v>23</v>
      </c>
      <c r="D190" s="13" t="e">
        <f>E189</f>
        <v>#REF!</v>
      </c>
    </row>
    <row r="191" spans="1:4" ht="12.75">
      <c r="A191" t="s">
        <v>24</v>
      </c>
      <c r="D191" s="14" t="e">
        <f>PMT(D165,10,D190)*-1</f>
        <v>#REF!</v>
      </c>
    </row>
    <row r="192" spans="1:4" ht="12.75">
      <c r="A192" t="s">
        <v>25</v>
      </c>
      <c r="D192" s="15" t="e">
        <f>D191/F189*10</f>
        <v>#REF!</v>
      </c>
    </row>
    <row r="193" spans="1:6" ht="12.75">
      <c r="A193" t="s">
        <v>26</v>
      </c>
      <c r="D193" s="15" t="e">
        <f>D192*4.547</f>
        <v>#REF!</v>
      </c>
      <c r="F193" s="16"/>
    </row>
    <row r="197" ht="12.75">
      <c r="A197" t="s">
        <v>27</v>
      </c>
    </row>
    <row r="198" ht="12.75">
      <c r="A198" t="s">
        <v>28</v>
      </c>
    </row>
    <row r="199" ht="12.75">
      <c r="A199" t="s">
        <v>29</v>
      </c>
    </row>
    <row r="200" ht="12.75">
      <c r="A200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Newfoundland and Labrador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Herbert Card</cp:lastModifiedBy>
  <cp:lastPrinted>2005-06-27T17:02:39Z</cp:lastPrinted>
  <dcterms:created xsi:type="dcterms:W3CDTF">2005-06-03T11:42:17Z</dcterms:created>
  <dcterms:modified xsi:type="dcterms:W3CDTF">2006-06-14T15:51:02Z</dcterms:modified>
  <cp:category/>
  <cp:version/>
  <cp:contentType/>
  <cp:contentStatus/>
</cp:coreProperties>
</file>