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oratrask\Desktop\"/>
    </mc:Choice>
  </mc:AlternateContent>
  <workbookProtection workbookAlgorithmName="SHA-512" workbookHashValue="BLmOcQiSTGTM0CZ/o1O8N/dptr7u5ic4WZcYcBXNt60BOVspsc8mbg2i/x8EQ3hvh+SSkUS8wr8Hhgi7PIpuoQ==" workbookSaltValue="RqZMqEOEQtxiUgBjxjR6tg==" workbookSpinCount="100000" lockStructure="1"/>
  <bookViews>
    <workbookView xWindow="0" yWindow="0" windowWidth="18600" windowHeight="5328" activeTab="1"/>
  </bookViews>
  <sheets>
    <sheet name="Instructions" sheetId="2" r:id="rId1"/>
    <sheet name="Legacy Wage Calculator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8" i="1" l="1"/>
  <c r="L18" i="1" l="1"/>
  <c r="N31" i="1"/>
  <c r="B14" i="1"/>
  <c r="M28" i="1" l="1"/>
  <c r="L28" i="1"/>
  <c r="K30" i="1" l="1"/>
  <c r="M30" i="1" l="1"/>
  <c r="L30" i="1"/>
  <c r="B21" i="1"/>
  <c r="N30" i="1" l="1"/>
  <c r="E21" i="1" s="1"/>
  <c r="A21" i="1"/>
  <c r="B7" i="1" l="1"/>
  <c r="B5" i="1"/>
  <c r="B6" i="1" s="1"/>
  <c r="F8" i="1" l="1"/>
  <c r="B10" i="1"/>
  <c r="L35" i="1" l="1"/>
  <c r="B9" i="1"/>
  <c r="N35" i="1" s="1"/>
  <c r="A20" i="1"/>
  <c r="V35" i="1" l="1"/>
  <c r="W35" i="1"/>
  <c r="L49" i="1"/>
  <c r="N49" i="1"/>
  <c r="B15" i="1"/>
  <c r="B16" i="1" s="1"/>
  <c r="B20" i="1"/>
  <c r="M35" i="1" l="1"/>
  <c r="O35" i="1" s="1"/>
  <c r="V49" i="1"/>
  <c r="W49" i="1"/>
  <c r="F12" i="1"/>
  <c r="F9" i="1"/>
  <c r="B19" i="1"/>
  <c r="M49" i="1" l="1"/>
  <c r="O49" i="1" s="1"/>
  <c r="L34" i="1"/>
  <c r="F11" i="1"/>
  <c r="K21" i="1"/>
  <c r="F10" i="1"/>
  <c r="B18" i="1"/>
  <c r="N34" i="1" s="1"/>
  <c r="L48" i="1" l="1"/>
  <c r="V34" i="1"/>
  <c r="W34" i="1"/>
  <c r="N48" i="1"/>
  <c r="M21" i="1"/>
  <c r="L21" i="1"/>
  <c r="B8" i="1"/>
  <c r="B11" i="1" s="1"/>
  <c r="M34" i="1" l="1"/>
  <c r="O34" i="1" s="1"/>
  <c r="N36" i="1"/>
  <c r="N50" i="1"/>
  <c r="V48" i="1"/>
  <c r="W48" i="1"/>
  <c r="L36" i="1"/>
  <c r="M48" i="1" l="1"/>
  <c r="O48" i="1" s="1"/>
  <c r="B17" i="1" s="1"/>
  <c r="B22" i="1" s="1"/>
  <c r="W36" i="1"/>
  <c r="L50" i="1"/>
  <c r="V36" i="1"/>
  <c r="M36" i="1" l="1"/>
  <c r="O36" i="1" s="1"/>
  <c r="V50" i="1"/>
  <c r="W50" i="1"/>
  <c r="M50" i="1" l="1"/>
  <c r="O50" i="1" s="1"/>
</calcChain>
</file>

<file path=xl/sharedStrings.xml><?xml version="1.0" encoding="utf-8"?>
<sst xmlns="http://schemas.openxmlformats.org/spreadsheetml/2006/main" count="109" uniqueCount="84">
  <si>
    <t>Employee Role</t>
  </si>
  <si>
    <t>Wage Grid (Without Benefits)</t>
  </si>
  <si>
    <t>Step 0</t>
  </si>
  <si>
    <t>Step 1</t>
  </si>
  <si>
    <t>Step 2</t>
  </si>
  <si>
    <t>Step 3</t>
  </si>
  <si>
    <t>Trainee</t>
  </si>
  <si>
    <t>Level One</t>
  </si>
  <si>
    <t>Level Two</t>
  </si>
  <si>
    <t>Level Three</t>
  </si>
  <si>
    <t>Level Four</t>
  </si>
  <si>
    <t>Supplement Grid (ECE)</t>
  </si>
  <si>
    <t>60 Hours</t>
  </si>
  <si>
    <t>120 Hours</t>
  </si>
  <si>
    <t>Supplement Grid (Administrator)</t>
  </si>
  <si>
    <t>Administrator Bonus</t>
  </si>
  <si>
    <t>Days Worked (Annual)</t>
  </si>
  <si>
    <t>Hours worked (Daily)</t>
  </si>
  <si>
    <t>AECENL Certification Level</t>
  </si>
  <si>
    <t xml:space="preserve">Your Hourly Rate is: </t>
  </si>
  <si>
    <t xml:space="preserve">Your Step Level on the Wage Grid is: </t>
  </si>
  <si>
    <t>Federal Tax Rates</t>
  </si>
  <si>
    <t>From</t>
  </si>
  <si>
    <t>To</t>
  </si>
  <si>
    <t>Rate</t>
  </si>
  <si>
    <t>Constant</t>
  </si>
  <si>
    <t>Canada Employment Amount</t>
  </si>
  <si>
    <t>Provincial Tax Rates</t>
  </si>
  <si>
    <t>Federal Tax Rate</t>
  </si>
  <si>
    <t>Federal Constant</t>
  </si>
  <si>
    <t>Provincial Tax Rate</t>
  </si>
  <si>
    <t>Provincial Constant</t>
  </si>
  <si>
    <t>Basic Personal (MAX)</t>
  </si>
  <si>
    <t>Basic Personal (MIN)</t>
  </si>
  <si>
    <t>Basic Personal</t>
  </si>
  <si>
    <t>Annual Taxable Income</t>
  </si>
  <si>
    <t>Annual Federal Tax</t>
  </si>
  <si>
    <t>Federal Tax Credits</t>
  </si>
  <si>
    <t>Federal Tax Total</t>
  </si>
  <si>
    <t>Annual Provincial Tax</t>
  </si>
  <si>
    <t>Provincial Tax Credits</t>
  </si>
  <si>
    <t>Provincial Tax Total</t>
  </si>
  <si>
    <t>Wage Grid</t>
  </si>
  <si>
    <t>Legacy</t>
  </si>
  <si>
    <t>Current + Supplement</t>
  </si>
  <si>
    <t xml:space="preserve">Your Supplement Payment is: </t>
  </si>
  <si>
    <t>Net Annual Salary</t>
  </si>
  <si>
    <t>Net Annual Salary:</t>
  </si>
  <si>
    <t>Labrador Worker</t>
  </si>
  <si>
    <t>Current Hourly Wage</t>
  </si>
  <si>
    <t>Qualify for Legacy Wage:</t>
  </si>
  <si>
    <t xml:space="preserve">Gross Annual Amount: </t>
  </si>
  <si>
    <t>Hourly Legacy Wage:</t>
  </si>
  <si>
    <t>Gross Annual Amount (Current Salary + Supplement)</t>
  </si>
  <si>
    <t>Gross Annual Amount (Wage Grid Salary + Bonuses)</t>
  </si>
  <si>
    <t>Note: The hourly legacy wage is calculated using the hourly rate as determined from the wage grid (excluding the 4% vacation pay) plus the difference between the annual current salary (excluding the 4% vacation pay) plus supplement minus the annual wage grid salary plus bonuses all divided by the total hours worked in a year.</t>
  </si>
  <si>
    <t>No</t>
  </si>
  <si>
    <t>Gross Delayed Payment:</t>
  </si>
  <si>
    <t>Delayed Payment</t>
  </si>
  <si>
    <t xml:space="preserve">Delayed Payment </t>
  </si>
  <si>
    <t>EI Deduction</t>
  </si>
  <si>
    <t>CPP</t>
  </si>
  <si>
    <t xml:space="preserve">Your Gross Annual Salary is: </t>
  </si>
  <si>
    <t>Supplement Eligibility (Retro)</t>
  </si>
  <si>
    <t>Amount Eligible (ECE) (Retro)</t>
  </si>
  <si>
    <t>Amount Eligible (Administrator) (Retro)</t>
  </si>
  <si>
    <t>Amount Eligible ECE - Actual</t>
  </si>
  <si>
    <t>Amount Eligible Administrator (Actual)</t>
  </si>
  <si>
    <t>Supplement (Retro)</t>
  </si>
  <si>
    <t>Your Tax Deductions (Estimated) in a Year</t>
  </si>
  <si>
    <t xml:space="preserve">Your Annual EI Deductions (Estimated) are: </t>
  </si>
  <si>
    <t>Your Annual CPP Contributions (Estimated) are:</t>
  </si>
  <si>
    <t>Delayed Payment Hourly Wage</t>
  </si>
  <si>
    <t>Delayed Payment Step</t>
  </si>
  <si>
    <t xml:space="preserve">Months Worked Between 60 and 120 Hours (April 2022-March 2023) </t>
  </si>
  <si>
    <t xml:space="preserve">Months Worked Over 120 Hours (April 2022-March 2023) </t>
  </si>
  <si>
    <t xml:space="preserve">Months Worked Less Than 60 Hours (April 2022-March 2023) </t>
  </si>
  <si>
    <t>Years Working at a
Regulated Centre in an
ECE Role</t>
  </si>
  <si>
    <r>
      <t xml:space="preserve">Please use the images below to guide you as you complete the Legacy Wage Calculator. The fields in </t>
    </r>
    <r>
      <rPr>
        <b/>
        <sz val="11"/>
        <color theme="9" tint="-0.499984740745262"/>
        <rFont val="Calibri"/>
        <family val="2"/>
        <scheme val="minor"/>
      </rPr>
      <t>green</t>
    </r>
    <r>
      <rPr>
        <sz val="11"/>
        <rFont val="Calibri"/>
        <family val="2"/>
        <scheme val="minor"/>
      </rPr>
      <t xml:space="preserve"> are all that needs to be filled out.</t>
    </r>
  </si>
  <si>
    <t xml:space="preserve">Note 1:  The hourly legacy wage is calculated using the hourly rate as determined from the wage grid (excluding the 4% vacation pay) plus the difference between the annual current salary (excluding the 4% vacation pay) plus supplement minus the annual wage grid salary plus bonuses all divided by the total hours worked in a year. </t>
  </si>
  <si>
    <t>Note 2: The delayed payment was calculated by taking the higher amount of wage grid salary + bonuses (for the quarter) minus the current salary (for the quarter) and the calculated supplement for the quarter. If this number does not correspond to what was auto-deposited, it's because this payment was subject to income tax deductions.</t>
  </si>
  <si>
    <t>Administrator Bonus Wage Grid + Retro)</t>
  </si>
  <si>
    <t xml:space="preserve">Note 3: "Licencee" is not an option in the legacy wage calculator. If a licencee works on the floor they should identify the role they are working in, while in ratio (eg: float, substitute, ECE). From there the information as identified above can be entered to determine both potential legacy wage and delayed payment.  </t>
  </si>
  <si>
    <t>Early Childhood Educator (Secondary)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</si>
</sst>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4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applyNumberFormat="1"/>
    <xf numFmtId="0" fontId="0" fillId="0" borderId="0" xfId="0" applyAlignment="1">
      <alignment horizontal="center" wrapText="1"/>
    </xf>
    <xf numFmtId="164" fontId="0" fillId="0" borderId="0" xfId="1" applyFont="1"/>
    <xf numFmtId="9" fontId="0" fillId="0" borderId="0" xfId="2" applyFont="1"/>
    <xf numFmtId="164" fontId="0" fillId="0" borderId="1" xfId="0" applyNumberFormat="1" applyBorder="1" applyAlignment="1">
      <alignment wrapText="1"/>
    </xf>
    <xf numFmtId="0" fontId="0" fillId="0" borderId="1" xfId="0" applyBorder="1" applyAlignment="1" applyProtection="1">
      <alignment wrapText="1"/>
    </xf>
    <xf numFmtId="164" fontId="0" fillId="0" borderId="1" xfId="0" applyNumberFormat="1" applyBorder="1" applyAlignment="1" applyProtection="1">
      <alignment wrapText="1"/>
    </xf>
    <xf numFmtId="0" fontId="0" fillId="0" borderId="1" xfId="0" applyNumberFormat="1" applyBorder="1" applyAlignment="1" applyProtection="1">
      <alignment wrapText="1"/>
    </xf>
    <xf numFmtId="0" fontId="0" fillId="2" borderId="1" xfId="0" applyFill="1" applyBorder="1" applyAlignment="1" applyProtection="1">
      <alignment wrapText="1"/>
      <protection locked="0"/>
    </xf>
    <xf numFmtId="164" fontId="0" fillId="2" borderId="1" xfId="1" applyFont="1" applyFill="1" applyBorder="1" applyAlignment="1" applyProtection="1">
      <alignment wrapText="1"/>
      <protection locked="0"/>
    </xf>
    <xf numFmtId="0" fontId="0" fillId="2" borderId="1" xfId="0" applyFill="1" applyBorder="1" applyProtection="1">
      <protection locked="0"/>
    </xf>
    <xf numFmtId="0" fontId="0" fillId="0" borderId="5" xfId="0" applyBorder="1"/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9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2" fillId="0" borderId="1" xfId="0" applyFont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2" fillId="0" borderId="3" xfId="0" applyFont="1" applyBorder="1" applyAlignment="1" applyProtection="1">
      <alignment horizontal="center" wrapText="1"/>
    </xf>
    <xf numFmtId="164" fontId="0" fillId="0" borderId="3" xfId="0" applyNumberFormat="1" applyBorder="1" applyAlignment="1" applyProtection="1">
      <alignment wrapText="1"/>
    </xf>
    <xf numFmtId="164" fontId="0" fillId="0" borderId="1" xfId="1" applyFont="1" applyBorder="1" applyAlignment="1" applyProtection="1">
      <alignment wrapText="1"/>
    </xf>
    <xf numFmtId="0" fontId="2" fillId="0" borderId="1" xfId="0" applyFon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2" borderId="1" xfId="0" applyFont="1" applyFill="1" applyBorder="1" applyAlignment="1" applyProtection="1">
      <alignment wrapText="1"/>
      <protection locked="0"/>
    </xf>
    <xf numFmtId="164" fontId="0" fillId="0" borderId="0" xfId="1" applyFont="1" applyAlignment="1" applyProtection="1">
      <alignment wrapText="1"/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4" fontId="0" fillId="0" borderId="0" xfId="0" applyNumberFormat="1" applyAlignment="1" applyProtection="1">
      <alignment wrapText="1"/>
    </xf>
    <xf numFmtId="0" fontId="0" fillId="0" borderId="2" xfId="0" applyFont="1" applyFill="1" applyBorder="1" applyAlignment="1" applyProtection="1">
      <alignment wrapText="1"/>
    </xf>
    <xf numFmtId="0" fontId="0" fillId="0" borderId="1" xfId="0" applyBorder="1" applyAlignment="1" applyProtection="1">
      <alignment horizontal="right" wrapText="1"/>
    </xf>
    <xf numFmtId="0" fontId="0" fillId="0" borderId="2" xfId="0" applyBorder="1" applyAlignment="1" applyProtection="1">
      <alignment wrapText="1"/>
    </xf>
    <xf numFmtId="0" fontId="0" fillId="0" borderId="0" xfId="0" applyBorder="1" applyAlignment="1" applyProtection="1">
      <alignment horizontal="left" vertical="top" wrapText="1"/>
    </xf>
    <xf numFmtId="0" fontId="0" fillId="0" borderId="3" xfId="0" applyBorder="1" applyAlignment="1" applyProtection="1">
      <alignment horizontal="left" wrapText="1"/>
    </xf>
    <xf numFmtId="0" fontId="0" fillId="0" borderId="4" xfId="0" applyBorder="1" applyAlignment="1" applyProtection="1">
      <alignment horizontal="left" wrapText="1"/>
    </xf>
  </cellXfs>
  <cellStyles count="3">
    <cellStyle name="Currency" xfId="1" builtinId="4"/>
    <cellStyle name="Normal" xfId="0" builtinId="0"/>
    <cellStyle name="Percent" xfId="2" builtinId="5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5</xdr:col>
      <xdr:colOff>336550</xdr:colOff>
      <xdr:row>18</xdr:row>
      <xdr:rowOff>34345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68300"/>
          <a:ext cx="3384549" cy="2980745"/>
        </a:xfrm>
        <a:prstGeom prst="rect">
          <a:avLst/>
        </a:prstGeom>
      </xdr:spPr>
    </xdr:pic>
    <xdr:clientData/>
  </xdr:twoCellAnchor>
  <xdr:twoCellAnchor editAs="oneCell">
    <xdr:from>
      <xdr:col>5</xdr:col>
      <xdr:colOff>283365</xdr:colOff>
      <xdr:row>0</xdr:row>
      <xdr:rowOff>165100</xdr:rowOff>
    </xdr:from>
    <xdr:to>
      <xdr:col>10</xdr:col>
      <xdr:colOff>546100</xdr:colOff>
      <xdr:row>16</xdr:row>
      <xdr:rowOff>33640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1365" y="165100"/>
          <a:ext cx="3310735" cy="2814940"/>
        </a:xfrm>
        <a:prstGeom prst="rect">
          <a:avLst/>
        </a:prstGeom>
      </xdr:spPr>
    </xdr:pic>
    <xdr:clientData/>
  </xdr:twoCellAnchor>
  <xdr:twoCellAnchor editAs="oneCell">
    <xdr:from>
      <xdr:col>11</xdr:col>
      <xdr:colOff>6351</xdr:colOff>
      <xdr:row>1</xdr:row>
      <xdr:rowOff>31750</xdr:rowOff>
    </xdr:from>
    <xdr:to>
      <xdr:col>16384</xdr:col>
      <xdr:colOff>30457</xdr:colOff>
      <xdr:row>13</xdr:row>
      <xdr:rowOff>76200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1951" y="215900"/>
          <a:ext cx="3681706" cy="225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topLeftCell="C1" zoomScale="120" zoomScaleNormal="120" workbookViewId="0">
      <selection activeCell="R1" sqref="R1:XFD1048576"/>
    </sheetView>
  </sheetViews>
  <sheetFormatPr defaultColWidth="0" defaultRowHeight="14.4" zeroHeight="1" x14ac:dyDescent="0.3"/>
  <cols>
    <col min="1" max="17" width="8.6640625" style="14" customWidth="1"/>
    <col min="18" max="16384" width="9.109375" style="14" hidden="1"/>
  </cols>
  <sheetData>
    <row r="1" spans="1:16" x14ac:dyDescent="0.3">
      <c r="A1" s="15" t="s">
        <v>78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7"/>
    </row>
    <row r="2" spans="1:16" x14ac:dyDescent="0.3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20"/>
    </row>
    <row r="3" spans="1:16" x14ac:dyDescent="0.3"/>
    <row r="4" spans="1:16" x14ac:dyDescent="0.3"/>
    <row r="5" spans="1:16" x14ac:dyDescent="0.3"/>
    <row r="6" spans="1:16" x14ac:dyDescent="0.3"/>
    <row r="7" spans="1:16" x14ac:dyDescent="0.3"/>
    <row r="8" spans="1:16" x14ac:dyDescent="0.3"/>
    <row r="9" spans="1:16" x14ac:dyDescent="0.3"/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spans="1:17" x14ac:dyDescent="0.3"/>
    <row r="18" spans="1:17" x14ac:dyDescent="0.3"/>
    <row r="19" spans="1:17" ht="14.4" customHeight="1" x14ac:dyDescent="0.3">
      <c r="A19" s="21" t="s">
        <v>79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</row>
    <row r="20" spans="1:17" x14ac:dyDescent="0.3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</row>
    <row r="21" spans="1:17" x14ac:dyDescent="0.3">
      <c r="A21" s="27" t="s">
        <v>80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9"/>
    </row>
    <row r="22" spans="1:17" x14ac:dyDescent="0.3">
      <c r="A22" s="30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2"/>
    </row>
    <row r="23" spans="1:17" x14ac:dyDescent="0.3">
      <c r="A23" s="33" t="s">
        <v>82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5"/>
    </row>
    <row r="24" spans="1:17" x14ac:dyDescent="0.3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2"/>
    </row>
  </sheetData>
  <sheetProtection algorithmName="SHA-512" hashValue="x6GgkWTLi+t1BbTCPByVpy8w5vntWYrW/TcsPNLFn6OESahh5CJiU4hbWpmGD3RPDn9c5RN3Dx5xtzEO65iprg==" saltValue="PQeC3bMbNwN085JAZjR56Q==" spinCount="100000" sheet="1" selectLockedCells="1" selectUnlockedCells="1"/>
  <mergeCells count="4">
    <mergeCell ref="A1:P2"/>
    <mergeCell ref="A19:Q20"/>
    <mergeCell ref="A21:Q22"/>
    <mergeCell ref="A23:Q2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5"/>
  <sheetViews>
    <sheetView tabSelected="1" zoomScaleNormal="100" workbookViewId="0">
      <selection activeCell="E3" sqref="E3"/>
    </sheetView>
  </sheetViews>
  <sheetFormatPr defaultColWidth="0" defaultRowHeight="14.4" zeroHeight="1" x14ac:dyDescent="0.3"/>
  <cols>
    <col min="1" max="1" width="47.88671875" style="42" customWidth="1"/>
    <col min="2" max="2" width="19.6640625" style="42" customWidth="1"/>
    <col min="3" max="3" width="20.88671875" style="42" customWidth="1"/>
    <col min="4" max="4" width="38.5546875" style="42" customWidth="1"/>
    <col min="5" max="5" width="26" style="42" customWidth="1"/>
    <col min="6" max="6" width="19.33203125" style="42" customWidth="1"/>
    <col min="7" max="7" width="12.88671875" style="45" customWidth="1"/>
    <col min="8" max="8" width="17.5546875" customWidth="1"/>
    <col min="9" max="10" width="17.5546875" hidden="1" customWidth="1"/>
    <col min="11" max="11" width="33" hidden="1" customWidth="1"/>
    <col min="12" max="12" width="26.109375" hidden="1" customWidth="1"/>
    <col min="13" max="13" width="33.5546875" hidden="1" customWidth="1"/>
    <col min="14" max="16384" width="17.5546875" hidden="1"/>
  </cols>
  <sheetData>
    <row r="1" spans="1:25" ht="43.2" x14ac:dyDescent="0.3">
      <c r="A1" s="41" t="s">
        <v>0</v>
      </c>
      <c r="B1" s="41" t="s">
        <v>18</v>
      </c>
      <c r="C1" s="41" t="s">
        <v>77</v>
      </c>
      <c r="D1" s="41" t="s">
        <v>16</v>
      </c>
      <c r="E1" s="41" t="s">
        <v>17</v>
      </c>
      <c r="F1" s="41" t="s">
        <v>49</v>
      </c>
      <c r="G1" s="41" t="s">
        <v>48</v>
      </c>
      <c r="I1" s="2"/>
      <c r="Q1" t="s">
        <v>1</v>
      </c>
      <c r="X1" s="3">
        <v>0</v>
      </c>
      <c r="Y1">
        <v>0</v>
      </c>
    </row>
    <row r="2" spans="1:25" ht="15" customHeight="1" x14ac:dyDescent="0.3">
      <c r="A2" s="11" t="s">
        <v>83</v>
      </c>
      <c r="B2" s="11" t="s">
        <v>6</v>
      </c>
      <c r="C2" s="11">
        <v>0</v>
      </c>
      <c r="D2" s="11">
        <v>250</v>
      </c>
      <c r="E2" s="11">
        <v>8</v>
      </c>
      <c r="F2" s="12">
        <v>15.6</v>
      </c>
      <c r="G2" s="13" t="s">
        <v>56</v>
      </c>
      <c r="R2" t="s">
        <v>2</v>
      </c>
      <c r="S2" t="s">
        <v>3</v>
      </c>
      <c r="T2" t="s">
        <v>4</v>
      </c>
      <c r="U2" t="s">
        <v>5</v>
      </c>
      <c r="X2" s="3">
        <v>1</v>
      </c>
      <c r="Y2">
        <v>0.25</v>
      </c>
    </row>
    <row r="3" spans="1:25" ht="15" customHeight="1" x14ac:dyDescent="0.3">
      <c r="A3" s="37"/>
      <c r="B3" s="37"/>
      <c r="C3" s="52" t="s">
        <v>75</v>
      </c>
      <c r="D3" s="53"/>
      <c r="E3" s="43">
        <v>0</v>
      </c>
      <c r="F3" s="44"/>
      <c r="I3" s="1"/>
      <c r="J3" s="1"/>
      <c r="Q3" t="s">
        <v>6</v>
      </c>
      <c r="R3" s="1">
        <v>18.059999999999999</v>
      </c>
      <c r="S3" s="1">
        <v>18.420000000000002</v>
      </c>
      <c r="T3" s="1">
        <v>18.79</v>
      </c>
      <c r="U3" s="1">
        <v>18.79</v>
      </c>
      <c r="X3" s="3">
        <v>2</v>
      </c>
      <c r="Y3">
        <v>0.5</v>
      </c>
    </row>
    <row r="4" spans="1:25" ht="15" customHeight="1" x14ac:dyDescent="0.3">
      <c r="A4" s="36" t="s">
        <v>44</v>
      </c>
      <c r="B4" s="38"/>
      <c r="C4" s="52" t="s">
        <v>74</v>
      </c>
      <c r="D4" s="53"/>
      <c r="E4" s="43">
        <v>0</v>
      </c>
      <c r="Q4" t="s">
        <v>7</v>
      </c>
      <c r="R4" s="1">
        <v>21.25</v>
      </c>
      <c r="S4" s="1">
        <v>21.68</v>
      </c>
      <c r="T4" s="1">
        <v>22.11</v>
      </c>
      <c r="U4" s="1">
        <v>22.55</v>
      </c>
      <c r="X4" s="3">
        <v>3</v>
      </c>
      <c r="Y4" s="3">
        <v>0.75</v>
      </c>
    </row>
    <row r="5" spans="1:25" ht="15" customHeight="1" x14ac:dyDescent="0.3">
      <c r="A5" s="8" t="s">
        <v>19</v>
      </c>
      <c r="B5" s="39">
        <f>F2</f>
        <v>15.6</v>
      </c>
      <c r="C5" s="52" t="s">
        <v>76</v>
      </c>
      <c r="D5" s="53"/>
      <c r="E5" s="43">
        <v>12</v>
      </c>
      <c r="Q5" t="s">
        <v>8</v>
      </c>
      <c r="R5" s="1">
        <v>25</v>
      </c>
      <c r="S5" s="1">
        <v>25.5</v>
      </c>
      <c r="T5" s="1">
        <v>26.01</v>
      </c>
      <c r="U5" s="1">
        <v>26.53</v>
      </c>
      <c r="X5" s="3">
        <v>4</v>
      </c>
      <c r="Y5" s="3">
        <v>1</v>
      </c>
    </row>
    <row r="6" spans="1:25" ht="15" customHeight="1" x14ac:dyDescent="0.3">
      <c r="A6" s="8" t="s">
        <v>62</v>
      </c>
      <c r="B6" s="9">
        <f>B5*E2*D2</f>
        <v>31200</v>
      </c>
      <c r="C6" s="47"/>
      <c r="D6" s="37"/>
      <c r="E6" s="48"/>
      <c r="F6" s="37"/>
      <c r="Q6" t="s">
        <v>9</v>
      </c>
      <c r="R6" s="1">
        <v>28.75</v>
      </c>
      <c r="S6" s="1">
        <v>29.33</v>
      </c>
      <c r="T6" s="1">
        <v>29.91</v>
      </c>
      <c r="U6" s="1">
        <v>30.51</v>
      </c>
      <c r="X6" s="3">
        <v>5</v>
      </c>
      <c r="Y6">
        <v>1.25</v>
      </c>
    </row>
    <row r="7" spans="1:25" ht="15" customHeight="1" x14ac:dyDescent="0.3">
      <c r="A7" s="8" t="s">
        <v>45</v>
      </c>
      <c r="B7" s="40">
        <f>IF(AND(A2="Administrator",B2&lt;&gt;"Trainee",B2&lt;&gt;"Level One"),M28,L28)</f>
        <v>0</v>
      </c>
      <c r="C7" s="37"/>
      <c r="D7" s="37"/>
      <c r="E7" s="37"/>
      <c r="F7" s="37"/>
      <c r="Q7" t="s">
        <v>10</v>
      </c>
      <c r="R7" s="1">
        <v>33.06</v>
      </c>
      <c r="S7" s="1">
        <v>33.72</v>
      </c>
      <c r="T7" s="1">
        <v>34.4</v>
      </c>
      <c r="U7" s="1">
        <v>35.090000000000003</v>
      </c>
      <c r="X7" s="3">
        <v>6</v>
      </c>
      <c r="Y7">
        <v>1.5</v>
      </c>
    </row>
    <row r="8" spans="1:25" ht="15" customHeight="1" x14ac:dyDescent="0.3">
      <c r="A8" s="8" t="s">
        <v>69</v>
      </c>
      <c r="B8" s="9">
        <f>O35+O49</f>
        <v>3524.8257300000005</v>
      </c>
      <c r="C8" s="37"/>
      <c r="D8" s="49" t="s">
        <v>53</v>
      </c>
      <c r="E8" s="49"/>
      <c r="F8" s="9">
        <f>B5*E2*D2+B7</f>
        <v>31200</v>
      </c>
      <c r="H8" s="1"/>
      <c r="X8" s="3">
        <v>7</v>
      </c>
      <c r="Y8">
        <v>1.75</v>
      </c>
    </row>
    <row r="9" spans="1:25" ht="15" customHeight="1" x14ac:dyDescent="0.3">
      <c r="A9" s="8" t="s">
        <v>70</v>
      </c>
      <c r="B9" s="9">
        <f>MIN(B6*0.0163,1002.45)</f>
        <v>508.55999999999995</v>
      </c>
      <c r="C9" s="37"/>
      <c r="D9" s="49" t="s">
        <v>54</v>
      </c>
      <c r="E9" s="49"/>
      <c r="F9" s="9">
        <f>B15*E2*D2+B20+B21</f>
        <v>36120</v>
      </c>
      <c r="H9" s="1"/>
      <c r="Q9" t="s">
        <v>11</v>
      </c>
      <c r="X9" s="3">
        <v>8</v>
      </c>
      <c r="Y9" s="3">
        <v>2</v>
      </c>
    </row>
    <row r="10" spans="1:25" ht="15" customHeight="1" x14ac:dyDescent="0.3">
      <c r="A10" s="8" t="s">
        <v>71</v>
      </c>
      <c r="B10" s="9">
        <f>(B6-3500)*0.0595</f>
        <v>1648.1499999999999</v>
      </c>
      <c r="C10" s="37"/>
      <c r="D10" s="49" t="s">
        <v>50</v>
      </c>
      <c r="E10" s="49"/>
      <c r="F10" s="8" t="str">
        <f>IF(F12&lt;=0,"No","Yes")</f>
        <v>No</v>
      </c>
      <c r="R10" t="s">
        <v>12</v>
      </c>
      <c r="S10" t="s">
        <v>13</v>
      </c>
      <c r="X10" s="3">
        <v>9</v>
      </c>
      <c r="Y10" s="3">
        <v>2.25</v>
      </c>
    </row>
    <row r="11" spans="1:25" ht="15" customHeight="1" x14ac:dyDescent="0.3">
      <c r="A11" s="8" t="s">
        <v>46</v>
      </c>
      <c r="B11" s="9">
        <f>B6+N30-B8-B9-B10</f>
        <v>25518.464269999997</v>
      </c>
      <c r="C11" s="37"/>
      <c r="D11" s="49" t="s">
        <v>51</v>
      </c>
      <c r="E11" s="49"/>
      <c r="F11" s="9">
        <f>IF((F12-B15)*D2*E2&lt;=0,0,(F12-B15)*D2*E2)</f>
        <v>0</v>
      </c>
      <c r="Q11" t="s">
        <v>7</v>
      </c>
      <c r="R11" s="1">
        <v>6450</v>
      </c>
      <c r="S11" s="1">
        <v>12900</v>
      </c>
      <c r="T11" s="1"/>
      <c r="U11" s="1">
        <v>1612.5</v>
      </c>
      <c r="X11" s="3">
        <v>10</v>
      </c>
      <c r="Y11">
        <v>2.5</v>
      </c>
    </row>
    <row r="12" spans="1:25" ht="15" customHeight="1" x14ac:dyDescent="0.3">
      <c r="A12" s="37"/>
      <c r="B12" s="37"/>
      <c r="C12" s="37"/>
      <c r="D12" s="49" t="s">
        <v>52</v>
      </c>
      <c r="E12" s="49"/>
      <c r="F12" s="9">
        <f>IF(((B5*E2*D2+B7)-(B15*E2*D2+B20+B21))/(D2*E2)&lt;0,0,((B5*E2*D2+B7)-(B15*E2*D2+B20+B21))/(D2*E2)+B15)</f>
        <v>0</v>
      </c>
      <c r="Q12" t="s">
        <v>8</v>
      </c>
      <c r="R12" s="1">
        <v>7200</v>
      </c>
      <c r="S12" s="1">
        <v>14400</v>
      </c>
      <c r="T12" s="1"/>
      <c r="U12" s="1">
        <v>1800</v>
      </c>
      <c r="X12" s="3">
        <v>11</v>
      </c>
      <c r="Y12">
        <v>2.75</v>
      </c>
    </row>
    <row r="13" spans="1:25" ht="15" customHeight="1" x14ac:dyDescent="0.3">
      <c r="A13" s="36" t="s">
        <v>42</v>
      </c>
      <c r="B13" s="36"/>
      <c r="C13" s="37"/>
      <c r="D13" s="50"/>
      <c r="E13" s="50"/>
      <c r="F13" s="37"/>
      <c r="Q13" t="s">
        <v>9</v>
      </c>
      <c r="R13" s="1">
        <v>7450</v>
      </c>
      <c r="S13" s="1">
        <v>14900</v>
      </c>
      <c r="T13" s="1"/>
      <c r="U13" s="1">
        <v>1862.5</v>
      </c>
      <c r="X13" s="3">
        <v>12</v>
      </c>
      <c r="Y13">
        <v>3</v>
      </c>
    </row>
    <row r="14" spans="1:25" ht="15" customHeight="1" x14ac:dyDescent="0.3">
      <c r="A14" s="8" t="s">
        <v>20</v>
      </c>
      <c r="B14" s="8">
        <f>IF(C2="","",IF(C2&lt;1,0,IF(AND(C2&gt;=1,C2&lt;=5),1,IF(AND(C2&gt;5,C2&lt;=10),2,3))))</f>
        <v>0</v>
      </c>
      <c r="C14" s="37"/>
      <c r="D14" s="51" t="s">
        <v>55</v>
      </c>
      <c r="E14" s="51"/>
      <c r="F14" s="37"/>
      <c r="Q14" t="s">
        <v>10</v>
      </c>
      <c r="R14" s="1">
        <v>7700</v>
      </c>
      <c r="S14" s="1">
        <v>15400</v>
      </c>
      <c r="T14" s="1"/>
      <c r="U14" s="1">
        <v>1925</v>
      </c>
      <c r="V14" s="1">
        <v>3225</v>
      </c>
      <c r="X14" s="3">
        <v>13</v>
      </c>
      <c r="Y14" s="3">
        <v>3.25</v>
      </c>
    </row>
    <row r="15" spans="1:25" ht="15" customHeight="1" x14ac:dyDescent="0.3">
      <c r="A15" s="8" t="s">
        <v>19</v>
      </c>
      <c r="B15" s="9">
        <f>IF(OR(B2="",C2=""),"",VLOOKUP(B2,Q2:U7,B14+2,FALSE))</f>
        <v>18.059999999999999</v>
      </c>
      <c r="C15" s="37"/>
      <c r="D15" s="51"/>
      <c r="E15" s="51"/>
      <c r="F15" s="37"/>
      <c r="V15" s="1">
        <v>3600</v>
      </c>
      <c r="X15" s="3">
        <v>14</v>
      </c>
      <c r="Y15" s="3">
        <v>3.5</v>
      </c>
    </row>
    <row r="16" spans="1:25" ht="15" customHeight="1" x14ac:dyDescent="0.3">
      <c r="A16" s="8" t="s">
        <v>62</v>
      </c>
      <c r="B16" s="9">
        <f>B15*D2*E2</f>
        <v>36120</v>
      </c>
      <c r="C16" s="37"/>
      <c r="D16" s="51"/>
      <c r="E16" s="51"/>
      <c r="F16" s="37"/>
      <c r="Q16" t="s">
        <v>14</v>
      </c>
      <c r="V16" s="1">
        <v>3725</v>
      </c>
      <c r="X16" s="3">
        <v>15</v>
      </c>
      <c r="Y16">
        <v>3.75</v>
      </c>
    </row>
    <row r="17" spans="1:25" ht="15" customHeight="1" x14ac:dyDescent="0.3">
      <c r="A17" s="8" t="s">
        <v>69</v>
      </c>
      <c r="B17" s="9">
        <f>O34+O48</f>
        <v>4602.4798980000014</v>
      </c>
      <c r="C17" s="37"/>
      <c r="D17" s="51"/>
      <c r="E17" s="51"/>
      <c r="F17" s="37"/>
      <c r="K17" t="s">
        <v>73</v>
      </c>
      <c r="L17" t="s">
        <v>72</v>
      </c>
      <c r="R17" t="s">
        <v>12</v>
      </c>
      <c r="S17" t="s">
        <v>13</v>
      </c>
      <c r="V17" s="1">
        <v>3850</v>
      </c>
      <c r="X17" s="3">
        <v>16</v>
      </c>
      <c r="Y17">
        <v>4</v>
      </c>
    </row>
    <row r="18" spans="1:25" ht="15" customHeight="1" x14ac:dyDescent="0.3">
      <c r="A18" s="8" t="s">
        <v>70</v>
      </c>
      <c r="B18" s="9">
        <f>MIN(B16*0.0163,1002.45)</f>
        <v>588.75599999999997</v>
      </c>
      <c r="C18" s="37"/>
      <c r="D18" s="51"/>
      <c r="E18" s="51"/>
      <c r="F18" s="37"/>
      <c r="K18">
        <f>IF(C2="","",IF(C2&lt;1,0,IF(AND(C2&gt;=1,C2&lt;5),1,IF(AND(C2&gt;=5,C2&lt;10),2,3))))</f>
        <v>0</v>
      </c>
      <c r="L18">
        <f>IF(OR(B2="",C2=""),"",VLOOKUP(B2,Q2:U7,K18+2,FALSE))</f>
        <v>18.059999999999999</v>
      </c>
      <c r="Q18" t="s">
        <v>8</v>
      </c>
      <c r="R18">
        <v>7950</v>
      </c>
      <c r="S18">
        <v>15900</v>
      </c>
      <c r="U18">
        <v>1987.5</v>
      </c>
      <c r="X18" s="3">
        <v>17</v>
      </c>
      <c r="Y18">
        <v>4.25</v>
      </c>
    </row>
    <row r="19" spans="1:25" ht="15" customHeight="1" x14ac:dyDescent="0.3">
      <c r="A19" s="8" t="s">
        <v>71</v>
      </c>
      <c r="B19" s="9">
        <f>(B16-3500)*0.0595</f>
        <v>1940.8899999999999</v>
      </c>
      <c r="C19" s="37"/>
      <c r="D19" s="51"/>
      <c r="E19" s="51"/>
      <c r="F19" s="37"/>
      <c r="Q19" t="s">
        <v>9</v>
      </c>
      <c r="R19">
        <v>8200</v>
      </c>
      <c r="S19">
        <v>16400</v>
      </c>
      <c r="U19">
        <v>2050</v>
      </c>
      <c r="X19" s="3">
        <v>18</v>
      </c>
      <c r="Y19" s="3">
        <v>4.5</v>
      </c>
    </row>
    <row r="20" spans="1:25" ht="15" customHeight="1" x14ac:dyDescent="0.3">
      <c r="A20" s="10" t="str">
        <f>IF(A2="Administrator", "Your administrator bonus is:","")</f>
        <v/>
      </c>
      <c r="B20" s="9">
        <f>IF(A2="Administrator", VLOOKUP(B14,Q24:R27,2,FALSE),0)</f>
        <v>0</v>
      </c>
      <c r="C20" s="37"/>
      <c r="D20" s="37"/>
      <c r="E20" s="37"/>
      <c r="F20" s="37"/>
      <c r="K20" t="s">
        <v>59</v>
      </c>
      <c r="L20" t="s">
        <v>60</v>
      </c>
      <c r="M20" t="s">
        <v>61</v>
      </c>
      <c r="Q20" t="s">
        <v>10</v>
      </c>
      <c r="R20">
        <v>8450</v>
      </c>
      <c r="S20">
        <v>16900</v>
      </c>
      <c r="U20">
        <v>2112.5</v>
      </c>
      <c r="X20" s="3">
        <v>19</v>
      </c>
      <c r="Y20" s="3">
        <v>4.75</v>
      </c>
    </row>
    <row r="21" spans="1:25" ht="15" customHeight="1" x14ac:dyDescent="0.3">
      <c r="A21" s="10" t="str">
        <f>IF(G2="Yes", "Your Labrador bonus is:","")</f>
        <v/>
      </c>
      <c r="B21" s="9">
        <f>IF(G2="Yes",5178,0)</f>
        <v>0</v>
      </c>
      <c r="C21" s="37"/>
      <c r="D21" s="37" t="s">
        <v>57</v>
      </c>
      <c r="E21" s="47">
        <f>IF((L18*D2*E2)+N31+B21-(F2*E2*D2)&gt;N30,((L18*D2*E2)+N31+B21-(F2*E2*D2))/4,N30/4)</f>
        <v>1230</v>
      </c>
      <c r="F21" s="37"/>
      <c r="G21" s="46"/>
      <c r="K21" s="5">
        <f>E21*4*1.04</f>
        <v>5116.8</v>
      </c>
      <c r="L21" s="5">
        <f>MIN(K21*0.0163,1002.45)</f>
        <v>83.403840000000002</v>
      </c>
      <c r="M21" s="5">
        <f>(K21-3500)*0.0595</f>
        <v>96.199600000000004</v>
      </c>
      <c r="V21">
        <v>3975</v>
      </c>
      <c r="X21" s="3">
        <v>20</v>
      </c>
      <c r="Y21">
        <v>5</v>
      </c>
    </row>
    <row r="22" spans="1:25" ht="15" customHeight="1" x14ac:dyDescent="0.3">
      <c r="A22" s="8" t="s">
        <v>47</v>
      </c>
      <c r="B22" s="9">
        <f>B16+B20+B21-B17-B18-B19</f>
        <v>28987.874101999998</v>
      </c>
      <c r="C22" s="37"/>
      <c r="D22" s="37"/>
      <c r="E22" s="37"/>
      <c r="F22" s="37"/>
      <c r="Q22" t="s">
        <v>15</v>
      </c>
      <c r="V22">
        <v>4100</v>
      </c>
      <c r="X22" s="3">
        <v>21</v>
      </c>
      <c r="Y22">
        <v>5.25</v>
      </c>
    </row>
    <row r="23" spans="1:25" x14ac:dyDescent="0.3">
      <c r="A23" s="37"/>
      <c r="B23" s="37"/>
      <c r="C23" s="37"/>
      <c r="D23" s="37"/>
      <c r="E23" s="37"/>
      <c r="F23" s="37"/>
      <c r="V23">
        <v>4225</v>
      </c>
      <c r="X23" s="3">
        <v>22</v>
      </c>
      <c r="Y23">
        <v>5.5</v>
      </c>
    </row>
    <row r="24" spans="1:25" hidden="1" x14ac:dyDescent="0.3">
      <c r="Q24">
        <v>0</v>
      </c>
      <c r="R24">
        <v>4894</v>
      </c>
      <c r="X24" s="3">
        <v>23</v>
      </c>
      <c r="Y24" s="3">
        <v>5.75</v>
      </c>
    </row>
    <row r="25" spans="1:25" hidden="1" x14ac:dyDescent="0.3">
      <c r="Q25">
        <v>1</v>
      </c>
      <c r="R25">
        <v>4992</v>
      </c>
      <c r="X25" s="3">
        <v>24</v>
      </c>
      <c r="Y25" s="3">
        <v>6</v>
      </c>
    </row>
    <row r="26" spans="1:25" hidden="1" x14ac:dyDescent="0.3">
      <c r="Q26">
        <v>2</v>
      </c>
      <c r="R26">
        <v>5091</v>
      </c>
      <c r="X26" s="3">
        <v>25</v>
      </c>
      <c r="Y26">
        <v>6.25</v>
      </c>
    </row>
    <row r="27" spans="1:25" hidden="1" x14ac:dyDescent="0.3">
      <c r="L27" t="s">
        <v>66</v>
      </c>
      <c r="M27" t="s">
        <v>67</v>
      </c>
      <c r="Q27">
        <v>3</v>
      </c>
      <c r="R27">
        <v>5193</v>
      </c>
      <c r="X27" s="3">
        <v>26</v>
      </c>
      <c r="Y27">
        <v>6.5</v>
      </c>
    </row>
    <row r="28" spans="1:25" hidden="1" x14ac:dyDescent="0.3">
      <c r="L28">
        <f>IF(B2&lt;&gt;"Trainee",VLOOKUP(B2,Q10:S14,3,FALSE)*(E3/12)+VLOOKUP(B2,Q10:S14,2,FALSE)*(E4/12),0)</f>
        <v>0</v>
      </c>
      <c r="M28">
        <f>IF(AND(A2="Administrator",B2&lt;&gt;"Trainee",B2&lt;&gt;"Level One"),VLOOKUP(B2,Q17:S20,3,FALSE)*(E3/12)+VLOOKUP(B2,Q17:S20,2,FALSE)*(E4/12),0)</f>
        <v>0</v>
      </c>
      <c r="X28" s="3">
        <v>27</v>
      </c>
      <c r="Y28">
        <v>6.75</v>
      </c>
    </row>
    <row r="29" spans="1:25" ht="14.4" hidden="1" customHeight="1" x14ac:dyDescent="0.3">
      <c r="K29" s="2" t="s">
        <v>63</v>
      </c>
      <c r="L29" s="2" t="s">
        <v>64</v>
      </c>
      <c r="M29" s="2" t="s">
        <v>65</v>
      </c>
      <c r="N29" s="2" t="s">
        <v>68</v>
      </c>
      <c r="Q29" t="s">
        <v>21</v>
      </c>
      <c r="X29" s="3">
        <v>28</v>
      </c>
      <c r="Y29" s="3">
        <v>7</v>
      </c>
    </row>
    <row r="30" spans="1:25" hidden="1" x14ac:dyDescent="0.3">
      <c r="K30">
        <f>E2*D2/12</f>
        <v>166.66666666666666</v>
      </c>
      <c r="L30">
        <f>IF(AND(B2&lt;&gt;"Trainee",K30&gt;=120),VLOOKUP(B2,Q10:S14,3,FALSE),IF(AND(B2&lt;&gt;"Trainee",K30&gt;=60,K30&lt;120),VLOOKUP(B2,Q10:S14,2,FALSE),0))</f>
        <v>0</v>
      </c>
      <c r="M30">
        <f>IF(AND(A2="Administrator",K30&gt;=120,B2&lt;&gt;"Trainee",B2&lt;&gt;"Level One"),VLOOKUP(B2,Q17:S20,3,FALSE),IF(AND(A2="Administrator",K30&gt;=60,K30&lt;120,B2&lt;&gt;"Trainee",B2&lt;&gt;"Level One"),VLOOKUP(B2,Q17:S20,2,FALSE),0))</f>
        <v>0</v>
      </c>
      <c r="N30" s="7">
        <f>IF(AND(A2="Administrator",B2&lt;&gt;"Trainee",B2&lt;&gt;"Level One"),M30,L30)</f>
        <v>0</v>
      </c>
      <c r="Q30" t="s">
        <v>22</v>
      </c>
      <c r="R30" t="s">
        <v>23</v>
      </c>
      <c r="S30" t="s">
        <v>24</v>
      </c>
      <c r="T30" t="s">
        <v>25</v>
      </c>
      <c r="X30" s="3">
        <v>29</v>
      </c>
      <c r="Y30" s="3">
        <v>7.25</v>
      </c>
    </row>
    <row r="31" spans="1:25" hidden="1" x14ac:dyDescent="0.3">
      <c r="M31" t="s">
        <v>81</v>
      </c>
      <c r="N31">
        <f>IF(A2="Administrator", VLOOKUP(K18,Q24:R27,2,FALSE),0)</f>
        <v>0</v>
      </c>
      <c r="Q31" s="5">
        <v>0</v>
      </c>
      <c r="R31" s="5">
        <v>53359</v>
      </c>
      <c r="S31" s="6">
        <v>0.15</v>
      </c>
      <c r="T31" s="5">
        <v>0</v>
      </c>
      <c r="X31" s="3">
        <v>30</v>
      </c>
      <c r="Y31">
        <v>7.5</v>
      </c>
    </row>
    <row r="32" spans="1:25" hidden="1" x14ac:dyDescent="0.3">
      <c r="Q32" s="5">
        <v>53359.01</v>
      </c>
      <c r="R32" s="5">
        <v>106717</v>
      </c>
      <c r="S32" s="6">
        <v>0.20499999999999999</v>
      </c>
      <c r="T32" s="5">
        <v>2935</v>
      </c>
      <c r="X32" s="3">
        <v>31</v>
      </c>
      <c r="Y32">
        <v>7.75</v>
      </c>
    </row>
    <row r="33" spans="11:25" ht="14.4" hidden="1" customHeight="1" x14ac:dyDescent="0.3">
      <c r="L33" s="2" t="s">
        <v>35</v>
      </c>
      <c r="M33" s="2" t="s">
        <v>36</v>
      </c>
      <c r="N33" s="2" t="s">
        <v>37</v>
      </c>
      <c r="O33" s="2" t="s">
        <v>38</v>
      </c>
      <c r="Q33" s="5">
        <v>106717.01</v>
      </c>
      <c r="R33" s="5">
        <v>165430</v>
      </c>
      <c r="S33" s="6">
        <v>0.26</v>
      </c>
      <c r="T33" s="5">
        <v>8804</v>
      </c>
      <c r="V33" s="2" t="s">
        <v>28</v>
      </c>
      <c r="W33" s="2" t="s">
        <v>29</v>
      </c>
      <c r="X33" s="3">
        <v>32</v>
      </c>
      <c r="Y33">
        <v>8</v>
      </c>
    </row>
    <row r="34" spans="11:25" ht="14.4" hidden="1" customHeight="1" x14ac:dyDescent="0.3">
      <c r="K34" s="2" t="s">
        <v>42</v>
      </c>
      <c r="L34" s="5">
        <f>B16+B20+B21-(B19*(0.01/0.0595))</f>
        <v>35793.800000000003</v>
      </c>
      <c r="M34" s="5">
        <f>L34*V34-W34</f>
        <v>5369.0700000000006</v>
      </c>
      <c r="N34" s="5">
        <f>(Q38+B19*(0.0495/0.0595)+B18+Q41)*S31</f>
        <v>2785.7168999999999</v>
      </c>
      <c r="O34" s="5">
        <f>M34-N34</f>
        <v>2583.3531000000007</v>
      </c>
      <c r="Q34" s="5">
        <v>165430.01</v>
      </c>
      <c r="R34" s="5">
        <v>235675</v>
      </c>
      <c r="S34" s="6">
        <v>0.28999999999999998</v>
      </c>
      <c r="T34" s="5">
        <v>13767</v>
      </c>
      <c r="V34">
        <f>IF(AND(L34&lt;R31,L34&gt;0),S31,IF(AND(L34&lt;R32,L34&gt;Q32),S32,IF(AND(L34&lt;R33,L34&gt;Q33),S33,IF(AND(L34&lt;R34,L34&gt;Q34),S34,S35))))</f>
        <v>0.15</v>
      </c>
      <c r="W34" s="5">
        <f>IF(AND(L34&lt;R31,L34&gt;0),T31,IF(AND(L34&lt;R32,L34&gt;Q32),T32,IF(AND(L34&lt;R33,L34&gt;Q33),T33,IF(AND(L34&lt;R34,L34&gt;Q34),T34,T35))))</f>
        <v>0</v>
      </c>
      <c r="X34" s="3">
        <v>33</v>
      </c>
      <c r="Y34" s="3">
        <v>8.25</v>
      </c>
    </row>
    <row r="35" spans="11:25" ht="14.4" hidden="1" customHeight="1" x14ac:dyDescent="0.3">
      <c r="K35" t="s">
        <v>43</v>
      </c>
      <c r="L35" s="5">
        <f>B6+N30-(B10*(0.01/0.0595))</f>
        <v>30923</v>
      </c>
      <c r="M35" s="5">
        <f>L35*V35-W35</f>
        <v>4638.45</v>
      </c>
      <c r="N35" s="5">
        <f>(Q38+B10*(0.0495/0.0595)+B9+Q41)*S31</f>
        <v>2737.1564999999996</v>
      </c>
      <c r="O35" s="1">
        <f>M35-N35</f>
        <v>1901.2935000000002</v>
      </c>
      <c r="Q35" s="5">
        <v>235675.01</v>
      </c>
      <c r="R35" s="5"/>
      <c r="S35" s="6">
        <v>0.33</v>
      </c>
      <c r="T35" s="5">
        <v>23194</v>
      </c>
      <c r="V35">
        <f>IF(AND(L35&lt;R31,L35&gt;0),S31,IF(AND(L35&lt;R32,L35&gt;Q32),S32,IF(AND(L35&lt;R33,L35&gt;Q33),S33,IF(AND(L35&lt;R34,L35&gt;Q34),S34,S35))))</f>
        <v>0.15</v>
      </c>
      <c r="W35" s="5">
        <f>IF(AND(L35&lt;R31,L35&gt;0),T31,IF(AND(L35&lt;R32,L35&gt;Q32),T32,IF(AND(L35&lt;R33,L35&gt;Q33),T33,IF(AND(L35&lt;R34,L35&gt;Q34),T34,T35))))</f>
        <v>0</v>
      </c>
      <c r="X35" s="3">
        <v>34</v>
      </c>
      <c r="Y35" s="3">
        <v>8.5</v>
      </c>
    </row>
    <row r="36" spans="11:25" hidden="1" x14ac:dyDescent="0.3">
      <c r="K36" t="s">
        <v>58</v>
      </c>
      <c r="L36" s="1">
        <f>K21-(M21*(0.01/0.0595))</f>
        <v>5100.6320000000005</v>
      </c>
      <c r="M36" s="5">
        <f>L36*V36-W36</f>
        <v>765.09480000000008</v>
      </c>
      <c r="N36" s="5">
        <f>(Q38+M21*(0.0495/0.0595)+L21+Q41)*S31</f>
        <v>2479.7153160000003</v>
      </c>
      <c r="O36" s="5">
        <f>IF(M36-N36&lt;=0,0,M36-N36)</f>
        <v>0</v>
      </c>
      <c r="V36">
        <f>IF(AND(L36&lt;R31,L36&gt;0),S31,IF(AND(L36&lt;R32,L36&gt;Q32),S32,IF(AND(L36&lt;R33,L36&gt;Q33),S33,IF(AND(L36&lt;R34,L36&gt;Q34),S34,S35))))</f>
        <v>0.15</v>
      </c>
      <c r="W36" s="5">
        <f>IF(AND(L36&lt;R31,L36&gt;0),T31,IF(AND(L36&lt;R32,L36&gt;Q32),T32,IF(AND(L36&lt;R33,L36&gt;Q33),T33,IF(AND(L36&lt;R34,L36&gt;Q34),T34,T35))))</f>
        <v>0</v>
      </c>
      <c r="X36" s="3">
        <v>35</v>
      </c>
      <c r="Y36">
        <v>8.75</v>
      </c>
    </row>
    <row r="37" spans="11:25" ht="28.8" hidden="1" x14ac:dyDescent="0.3">
      <c r="Q37" s="2" t="s">
        <v>32</v>
      </c>
      <c r="R37" s="2" t="s">
        <v>33</v>
      </c>
      <c r="X37" s="3">
        <v>36</v>
      </c>
      <c r="Y37">
        <v>9</v>
      </c>
    </row>
    <row r="38" spans="11:25" hidden="1" x14ac:dyDescent="0.3">
      <c r="Q38" s="5">
        <v>15000</v>
      </c>
      <c r="R38" s="5">
        <v>13521</v>
      </c>
      <c r="X38" s="3">
        <v>37</v>
      </c>
      <c r="Y38">
        <v>9.25</v>
      </c>
    </row>
    <row r="39" spans="11:25" hidden="1" x14ac:dyDescent="0.3">
      <c r="X39" s="3">
        <v>38</v>
      </c>
      <c r="Y39" s="3">
        <v>9.5</v>
      </c>
    </row>
    <row r="40" spans="11:25" ht="14.4" hidden="1" customHeight="1" x14ac:dyDescent="0.3">
      <c r="Q40" s="4" t="s">
        <v>26</v>
      </c>
      <c r="X40" s="3">
        <v>39</v>
      </c>
      <c r="Y40" s="3">
        <v>9.75</v>
      </c>
    </row>
    <row r="41" spans="11:25" hidden="1" x14ac:dyDescent="0.3">
      <c r="Q41" s="5">
        <v>1368</v>
      </c>
      <c r="X41" s="3">
        <v>40</v>
      </c>
      <c r="Y41">
        <v>10</v>
      </c>
    </row>
    <row r="42" spans="11:25" hidden="1" x14ac:dyDescent="0.3">
      <c r="X42" s="3">
        <v>41</v>
      </c>
      <c r="Y42">
        <v>10.25</v>
      </c>
    </row>
    <row r="43" spans="11:25" ht="14.4" hidden="1" customHeight="1" x14ac:dyDescent="0.3">
      <c r="Q43" t="s">
        <v>27</v>
      </c>
      <c r="X43" s="3">
        <v>42</v>
      </c>
      <c r="Y43">
        <v>10.5</v>
      </c>
    </row>
    <row r="44" spans="11:25" hidden="1" x14ac:dyDescent="0.3">
      <c r="Q44" t="s">
        <v>22</v>
      </c>
      <c r="R44" t="s">
        <v>23</v>
      </c>
      <c r="S44" t="s">
        <v>24</v>
      </c>
      <c r="T44" t="s">
        <v>25</v>
      </c>
      <c r="X44" s="3">
        <v>43</v>
      </c>
      <c r="Y44" s="3">
        <v>10.75</v>
      </c>
    </row>
    <row r="45" spans="11:25" hidden="1" x14ac:dyDescent="0.3">
      <c r="Q45" s="5">
        <v>0</v>
      </c>
      <c r="R45" s="5">
        <v>41457</v>
      </c>
      <c r="S45" s="5">
        <v>8.6999999999999994E-2</v>
      </c>
      <c r="T45" s="5">
        <v>0</v>
      </c>
      <c r="X45" s="3">
        <v>44</v>
      </c>
      <c r="Y45" s="3">
        <v>11</v>
      </c>
    </row>
    <row r="46" spans="11:25" hidden="1" x14ac:dyDescent="0.3">
      <c r="Q46" s="5">
        <v>41457.01</v>
      </c>
      <c r="R46" s="5">
        <v>82913</v>
      </c>
      <c r="S46" s="5">
        <v>0.14499999999999999</v>
      </c>
      <c r="T46" s="5">
        <v>2405</v>
      </c>
      <c r="X46" s="3">
        <v>45</v>
      </c>
      <c r="Y46">
        <v>11.25</v>
      </c>
    </row>
    <row r="47" spans="11:25" ht="28.8" hidden="1" x14ac:dyDescent="0.3">
      <c r="L47" s="2" t="s">
        <v>35</v>
      </c>
      <c r="M47" s="2" t="s">
        <v>39</v>
      </c>
      <c r="N47" s="2" t="s">
        <v>40</v>
      </c>
      <c r="O47" s="2" t="s">
        <v>41</v>
      </c>
      <c r="Q47" s="5">
        <v>82913.009999999995</v>
      </c>
      <c r="R47" s="5">
        <v>148027</v>
      </c>
      <c r="S47" s="5">
        <v>0.158</v>
      </c>
      <c r="T47" s="5">
        <v>3482</v>
      </c>
      <c r="V47" t="s">
        <v>30</v>
      </c>
      <c r="W47" t="s">
        <v>31</v>
      </c>
      <c r="X47" s="3">
        <v>46</v>
      </c>
      <c r="Y47">
        <v>11.5</v>
      </c>
    </row>
    <row r="48" spans="11:25" hidden="1" x14ac:dyDescent="0.3">
      <c r="K48" t="s">
        <v>42</v>
      </c>
      <c r="L48" s="1">
        <f>L34</f>
        <v>35793.800000000003</v>
      </c>
      <c r="M48" s="1">
        <f>L48*V48-W48</f>
        <v>3114.0606000000002</v>
      </c>
      <c r="N48" s="1">
        <f>(Q55+B19*(0.0495/0.0595)+B18)*S45</f>
        <v>1094.933802</v>
      </c>
      <c r="O48" s="1">
        <f>M48-N48</f>
        <v>2019.1267980000002</v>
      </c>
      <c r="Q48" s="5">
        <v>148027.01</v>
      </c>
      <c r="R48" s="5">
        <v>207239</v>
      </c>
      <c r="S48" s="5">
        <v>0.17799999999999999</v>
      </c>
      <c r="T48" s="5">
        <v>6443</v>
      </c>
      <c r="V48">
        <f>IF(AND(L48&lt;R45,L48&gt;0),S45,IF(AND(L48&lt;R46,L48&gt;Q46),S46,IF(AND(L48&lt;R47,L48&gt;Q47),S47,IF(AND(L48&lt;R48,L48&gt;Q48),S48,IF(AND(L48&lt;R49,L48&gt;Q49),S49,IF(AND(L48&lt;R50,L48&gt;Q50),S50,IF(AND(L48&lt;R51,L48&gt;Q51),S51,S52)))))))</f>
        <v>8.6999999999999994E-2</v>
      </c>
      <c r="W48">
        <f>IF(AND(L48&lt;R45,L48&gt;0),T45,IF(AND(L48&lt;R46,L48&gt;Q46),T46,IF(AND(L48&lt;R47,L48&gt;Q47),T47,IF(AND(L48&lt;R48,L48&gt;Q48),T48,IF(AND(L48&lt;R49,L48&gt;Q49),T49,IF(AND(L48&lt;R50,L48&gt;Q50),T50,IF(AND(L48&lt;R51,L48&gt;Q51),T51,T52)))))))</f>
        <v>0</v>
      </c>
      <c r="X48" s="3">
        <v>47</v>
      </c>
      <c r="Y48">
        <v>11.75</v>
      </c>
    </row>
    <row r="49" spans="11:25" hidden="1" x14ac:dyDescent="0.3">
      <c r="K49" t="s">
        <v>43</v>
      </c>
      <c r="L49" s="1">
        <f>L35</f>
        <v>30923</v>
      </c>
      <c r="M49" s="1">
        <f>L49*V49-W49</f>
        <v>2690.3009999999999</v>
      </c>
      <c r="N49" s="1">
        <f>(Q55+B10*(0.0495/0.0595)+B9)*S45</f>
        <v>1066.7687699999999</v>
      </c>
      <c r="O49" s="1">
        <f>M49-N49</f>
        <v>1623.53223</v>
      </c>
      <c r="Q49" s="5">
        <v>207239.01</v>
      </c>
      <c r="R49" s="5">
        <v>264750</v>
      </c>
      <c r="S49" s="5">
        <v>0.19800000000000001</v>
      </c>
      <c r="T49" s="5">
        <v>10588</v>
      </c>
      <c r="V49">
        <f>IF(AND(L49&lt;R45,L49&gt;0),S45,IF(AND(L49&lt;R46,L49&gt;Q46),S46,IF(AND(L49&lt;R47,L49&gt;Q47),S47,IF(AND(L49&lt;R48,L49&gt;Q48),S48,IF(AND(L49&lt;R49,L49&gt;Q49),S49,IF(AND(L49&lt;R50,L49&gt;Q50),S50,IF(AND(L49&lt;R51,L49&gt;Q51),S51,S52)))))))</f>
        <v>8.6999999999999994E-2</v>
      </c>
      <c r="W49">
        <f>IF(AND(L49&lt;R45,L49&gt;0),T45,IF(AND(L49&lt;R46,L49&gt;Q46),T46,IF(AND(L49&lt;R47,L49&gt;Q47),T47,IF(AND(L49&lt;R48,L49&gt;Q48),T48,IF(AND(L49&lt;R49,L49&gt;Q49),T49,IF(AND(L49&lt;R50,L49&gt;Q50),T50,IF(AND(L49&lt;R51,L49&gt;Q51),T51,T52)))))))</f>
        <v>0</v>
      </c>
      <c r="X49" s="3">
        <v>48</v>
      </c>
      <c r="Y49" s="3">
        <v>12</v>
      </c>
    </row>
    <row r="50" spans="11:25" hidden="1" x14ac:dyDescent="0.3">
      <c r="K50" t="s">
        <v>58</v>
      </c>
      <c r="L50" s="1">
        <f>L36</f>
        <v>5100.6320000000005</v>
      </c>
      <c r="M50" s="1">
        <f>L50*V50-W50</f>
        <v>443.75498400000004</v>
      </c>
      <c r="N50" s="5">
        <f>(Q55+M21*(0.0495/0.0595)+L21)*S45</f>
        <v>917.45288328000004</v>
      </c>
      <c r="O50" s="1">
        <f>IF(M50-N50&lt;0,0,M50-N50)</f>
        <v>0</v>
      </c>
      <c r="Q50" s="5">
        <v>264750.01</v>
      </c>
      <c r="R50" s="5">
        <v>529500</v>
      </c>
      <c r="S50" s="5">
        <v>0.20799999999999999</v>
      </c>
      <c r="T50" s="5">
        <v>13235</v>
      </c>
      <c r="V50">
        <f>IF(AND(L50&lt;R45,L50&gt;0),S45,IF(AND(L50&lt;R46,L50&gt;Q46),S46,IF(AND(L50&lt;R47,L50&gt;Q47),S47,IF(AND(L50&lt;R48,L50&gt;Q48),S48,IF(AND(L50&lt;R49,L50&gt;Q49),S49,IF(AND(L50&lt;R50,L50&gt;Q50),S50,IF(AND(L50&lt;R51,L50&gt;Q51),S51,S52)))))))</f>
        <v>8.6999999999999994E-2</v>
      </c>
      <c r="W50">
        <f>IF(AND(L50&lt;R45,L50&gt;0),T45,IF(AND(L50&lt;R46,L50&gt;Q46),T46,IF(AND(L50&lt;R47,L50&gt;Q47),T47,IF(AND(L50&lt;R48,L50&gt;Q48),T48,IF(AND(L50&lt;R49,L50&gt;Q49),T49,IF(AND(L50&lt;R50,L50&gt;Q50),T50,IF(AND(L50&lt;R51,L50&gt;Q51),T51,T52)))))))</f>
        <v>0</v>
      </c>
      <c r="X50" s="3">
        <v>49</v>
      </c>
      <c r="Y50" s="3">
        <v>12.25</v>
      </c>
    </row>
    <row r="51" spans="11:25" hidden="1" x14ac:dyDescent="0.3">
      <c r="Q51" s="5">
        <v>529500.01</v>
      </c>
      <c r="R51" s="5">
        <v>1059000</v>
      </c>
      <c r="S51" s="5">
        <v>0.21299999999999999</v>
      </c>
      <c r="T51" s="5">
        <v>15883</v>
      </c>
      <c r="X51" s="3">
        <v>50</v>
      </c>
      <c r="Y51">
        <v>12.5</v>
      </c>
    </row>
    <row r="52" spans="11:25" hidden="1" x14ac:dyDescent="0.3">
      <c r="Q52" s="5">
        <v>1059000.01</v>
      </c>
      <c r="R52" s="5"/>
      <c r="S52" s="5">
        <v>0.218</v>
      </c>
      <c r="T52" s="5">
        <v>21178</v>
      </c>
      <c r="X52" s="3">
        <v>51</v>
      </c>
      <c r="Y52">
        <v>12.75</v>
      </c>
    </row>
    <row r="53" spans="11:25" hidden="1" x14ac:dyDescent="0.3">
      <c r="X53" s="3">
        <v>52</v>
      </c>
      <c r="Y53">
        <v>13</v>
      </c>
    </row>
    <row r="54" spans="11:25" hidden="1" x14ac:dyDescent="0.3">
      <c r="Q54" s="2" t="s">
        <v>34</v>
      </c>
      <c r="R54" s="2" t="s">
        <v>34</v>
      </c>
      <c r="X54" s="3">
        <v>53</v>
      </c>
      <c r="Y54" s="3">
        <v>13.25</v>
      </c>
    </row>
    <row r="55" spans="11:25" hidden="1" x14ac:dyDescent="0.3">
      <c r="Q55" s="5">
        <v>10382</v>
      </c>
      <c r="X55" s="3">
        <v>54</v>
      </c>
      <c r="Y55" s="3">
        <v>13.5</v>
      </c>
    </row>
    <row r="56" spans="11:25" hidden="1" x14ac:dyDescent="0.3">
      <c r="X56" s="3">
        <v>55</v>
      </c>
      <c r="Y56">
        <v>13.75</v>
      </c>
    </row>
    <row r="57" spans="11:25" hidden="1" x14ac:dyDescent="0.3">
      <c r="X57" s="3">
        <v>56</v>
      </c>
      <c r="Y57">
        <v>14</v>
      </c>
    </row>
    <row r="58" spans="11:25" hidden="1" x14ac:dyDescent="0.3">
      <c r="X58" s="3">
        <v>57</v>
      </c>
      <c r="Y58">
        <v>14.25</v>
      </c>
    </row>
    <row r="59" spans="11:25" hidden="1" x14ac:dyDescent="0.3">
      <c r="X59" s="3">
        <v>58</v>
      </c>
      <c r="Y59" s="3">
        <v>14.5</v>
      </c>
    </row>
    <row r="60" spans="11:25" hidden="1" x14ac:dyDescent="0.3">
      <c r="X60" s="3">
        <v>59</v>
      </c>
      <c r="Y60" s="3">
        <v>14.75</v>
      </c>
    </row>
    <row r="61" spans="11:25" hidden="1" x14ac:dyDescent="0.3">
      <c r="X61" s="3">
        <v>60</v>
      </c>
      <c r="Y61">
        <v>15</v>
      </c>
    </row>
    <row r="62" spans="11:25" hidden="1" x14ac:dyDescent="0.3">
      <c r="Y62">
        <v>15.25</v>
      </c>
    </row>
    <row r="63" spans="11:25" hidden="1" x14ac:dyDescent="0.3">
      <c r="Y63">
        <v>15.5</v>
      </c>
    </row>
    <row r="64" spans="11:25" hidden="1" x14ac:dyDescent="0.3">
      <c r="Y64" s="3">
        <v>15.75</v>
      </c>
    </row>
    <row r="65" spans="25:25" hidden="1" x14ac:dyDescent="0.3">
      <c r="Y65" s="3">
        <v>16</v>
      </c>
    </row>
    <row r="66" spans="25:25" hidden="1" x14ac:dyDescent="0.3">
      <c r="Y66">
        <v>16.25</v>
      </c>
    </row>
    <row r="67" spans="25:25" hidden="1" x14ac:dyDescent="0.3">
      <c r="Y67">
        <v>16.5</v>
      </c>
    </row>
    <row r="68" spans="25:25" hidden="1" x14ac:dyDescent="0.3">
      <c r="Y68">
        <v>16.75</v>
      </c>
    </row>
    <row r="69" spans="25:25" hidden="1" x14ac:dyDescent="0.3">
      <c r="Y69" s="3">
        <v>17</v>
      </c>
    </row>
    <row r="70" spans="25:25" hidden="1" x14ac:dyDescent="0.3">
      <c r="Y70" s="3">
        <v>17.25</v>
      </c>
    </row>
    <row r="71" spans="25:25" hidden="1" x14ac:dyDescent="0.3">
      <c r="Y71">
        <v>17.5</v>
      </c>
    </row>
    <row r="72" spans="25:25" hidden="1" x14ac:dyDescent="0.3">
      <c r="Y72">
        <v>17.75</v>
      </c>
    </row>
    <row r="73" spans="25:25" hidden="1" x14ac:dyDescent="0.3">
      <c r="Y73">
        <v>18</v>
      </c>
    </row>
    <row r="74" spans="25:25" hidden="1" x14ac:dyDescent="0.3">
      <c r="Y74" s="3">
        <v>18.25</v>
      </c>
    </row>
    <row r="75" spans="25:25" hidden="1" x14ac:dyDescent="0.3">
      <c r="Y75" s="3">
        <v>18.5</v>
      </c>
    </row>
    <row r="76" spans="25:25" hidden="1" x14ac:dyDescent="0.3">
      <c r="Y76">
        <v>18.75</v>
      </c>
    </row>
    <row r="77" spans="25:25" hidden="1" x14ac:dyDescent="0.3">
      <c r="Y77">
        <v>19</v>
      </c>
    </row>
    <row r="78" spans="25:25" hidden="1" x14ac:dyDescent="0.3">
      <c r="Y78">
        <v>19.25</v>
      </c>
    </row>
    <row r="79" spans="25:25" hidden="1" x14ac:dyDescent="0.3">
      <c r="Y79" s="3">
        <v>19.5</v>
      </c>
    </row>
    <row r="80" spans="25:25" hidden="1" x14ac:dyDescent="0.3">
      <c r="Y80" s="3">
        <v>19.75</v>
      </c>
    </row>
    <row r="81" spans="25:25" hidden="1" x14ac:dyDescent="0.3">
      <c r="Y81">
        <v>20</v>
      </c>
    </row>
    <row r="82" spans="25:25" hidden="1" x14ac:dyDescent="0.3">
      <c r="Y82">
        <v>20.25</v>
      </c>
    </row>
    <row r="83" spans="25:25" hidden="1" x14ac:dyDescent="0.3">
      <c r="Y83">
        <v>20.5</v>
      </c>
    </row>
    <row r="84" spans="25:25" hidden="1" x14ac:dyDescent="0.3">
      <c r="Y84" s="3">
        <v>20.75</v>
      </c>
    </row>
    <row r="85" spans="25:25" hidden="1" x14ac:dyDescent="0.3">
      <c r="Y85" s="3">
        <v>21</v>
      </c>
    </row>
    <row r="86" spans="25:25" hidden="1" x14ac:dyDescent="0.3">
      <c r="Y86">
        <v>21.25</v>
      </c>
    </row>
    <row r="87" spans="25:25" hidden="1" x14ac:dyDescent="0.3">
      <c r="Y87">
        <v>21.5</v>
      </c>
    </row>
    <row r="88" spans="25:25" hidden="1" x14ac:dyDescent="0.3">
      <c r="Y88">
        <v>21.75</v>
      </c>
    </row>
    <row r="89" spans="25:25" hidden="1" x14ac:dyDescent="0.3">
      <c r="Y89" s="3">
        <v>22</v>
      </c>
    </row>
    <row r="90" spans="25:25" hidden="1" x14ac:dyDescent="0.3">
      <c r="Y90" s="3">
        <v>22.25</v>
      </c>
    </row>
    <row r="91" spans="25:25" hidden="1" x14ac:dyDescent="0.3">
      <c r="Y91">
        <v>22.5</v>
      </c>
    </row>
    <row r="92" spans="25:25" hidden="1" x14ac:dyDescent="0.3">
      <c r="Y92">
        <v>22.75</v>
      </c>
    </row>
    <row r="93" spans="25:25" hidden="1" x14ac:dyDescent="0.3">
      <c r="Y93">
        <v>23</v>
      </c>
    </row>
    <row r="94" spans="25:25" hidden="1" x14ac:dyDescent="0.3">
      <c r="Y94" s="3">
        <v>23.25</v>
      </c>
    </row>
    <row r="95" spans="25:25" hidden="1" x14ac:dyDescent="0.3">
      <c r="Y95" s="3">
        <v>23.5</v>
      </c>
    </row>
    <row r="96" spans="25:25" hidden="1" x14ac:dyDescent="0.3">
      <c r="Y96">
        <v>23.75</v>
      </c>
    </row>
    <row r="97" spans="25:25" hidden="1" x14ac:dyDescent="0.3">
      <c r="Y97">
        <v>24</v>
      </c>
    </row>
    <row r="98" spans="25:25" hidden="1" x14ac:dyDescent="0.3"/>
    <row r="99" spans="25:25" hidden="1" x14ac:dyDescent="0.3">
      <c r="Y99" s="3"/>
    </row>
    <row r="100" spans="25:25" hidden="1" x14ac:dyDescent="0.3">
      <c r="Y100" s="3"/>
    </row>
    <row r="101" spans="25:25" hidden="1" x14ac:dyDescent="0.3"/>
    <row r="102" spans="25:25" hidden="1" x14ac:dyDescent="0.3"/>
    <row r="103" spans="25:25" hidden="1" x14ac:dyDescent="0.3"/>
    <row r="104" spans="25:25" hidden="1" x14ac:dyDescent="0.3">
      <c r="Y104" s="3"/>
    </row>
    <row r="105" spans="25:25" hidden="1" x14ac:dyDescent="0.3">
      <c r="Y105" s="3"/>
    </row>
    <row r="106" spans="25:25" hidden="1" x14ac:dyDescent="0.3"/>
    <row r="107" spans="25:25" hidden="1" x14ac:dyDescent="0.3"/>
    <row r="108" spans="25:25" hidden="1" x14ac:dyDescent="0.3"/>
    <row r="109" spans="25:25" hidden="1" x14ac:dyDescent="0.3">
      <c r="Y109" s="3"/>
    </row>
    <row r="110" spans="25:25" hidden="1" x14ac:dyDescent="0.3">
      <c r="Y110" s="3"/>
    </row>
    <row r="111" spans="25:25" hidden="1" x14ac:dyDescent="0.3"/>
    <row r="112" spans="25:25" hidden="1" x14ac:dyDescent="0.3"/>
    <row r="113" spans="25:25" hidden="1" x14ac:dyDescent="0.3"/>
    <row r="114" spans="25:25" hidden="1" x14ac:dyDescent="0.3">
      <c r="Y114" s="3"/>
    </row>
    <row r="115" spans="25:25" hidden="1" x14ac:dyDescent="0.3">
      <c r="Y115" s="3"/>
    </row>
    <row r="116" spans="25:25" hidden="1" x14ac:dyDescent="0.3"/>
    <row r="117" spans="25:25" hidden="1" x14ac:dyDescent="0.3"/>
    <row r="118" spans="25:25" hidden="1" x14ac:dyDescent="0.3"/>
    <row r="119" spans="25:25" hidden="1" x14ac:dyDescent="0.3">
      <c r="Y119" s="3"/>
    </row>
    <row r="120" spans="25:25" hidden="1" x14ac:dyDescent="0.3">
      <c r="Y120" s="3"/>
    </row>
    <row r="121" spans="25:25" hidden="1" x14ac:dyDescent="0.3"/>
    <row r="122" spans="25:25" hidden="1" x14ac:dyDescent="0.3"/>
    <row r="123" spans="25:25" hidden="1" x14ac:dyDescent="0.3"/>
    <row r="124" spans="25:25" hidden="1" x14ac:dyDescent="0.3">
      <c r="Y124" s="3"/>
    </row>
    <row r="125" spans="25:25" hidden="1" x14ac:dyDescent="0.3">
      <c r="Y125" s="3"/>
    </row>
    <row r="126" spans="25:25" hidden="1" x14ac:dyDescent="0.3"/>
    <row r="127" spans="25:25" hidden="1" x14ac:dyDescent="0.3"/>
    <row r="128" spans="25:25" hidden="1" x14ac:dyDescent="0.3"/>
    <row r="129" spans="25:25" hidden="1" x14ac:dyDescent="0.3">
      <c r="Y129" s="3"/>
    </row>
    <row r="130" spans="25:25" hidden="1" x14ac:dyDescent="0.3">
      <c r="Y130" s="3"/>
    </row>
    <row r="131" spans="25:25" hidden="1" x14ac:dyDescent="0.3"/>
    <row r="132" spans="25:25" hidden="1" x14ac:dyDescent="0.3"/>
    <row r="133" spans="25:25" hidden="1" x14ac:dyDescent="0.3"/>
    <row r="134" spans="25:25" hidden="1" x14ac:dyDescent="0.3">
      <c r="Y134" s="3"/>
    </row>
    <row r="135" spans="25:25" hidden="1" x14ac:dyDescent="0.3">
      <c r="Y135" s="3"/>
    </row>
  </sheetData>
  <sheetProtection password="8AA1" sheet="1" objects="1" scenarios="1"/>
  <mergeCells count="11">
    <mergeCell ref="D14:E19"/>
    <mergeCell ref="A13:B13"/>
    <mergeCell ref="A4:B4"/>
    <mergeCell ref="D10:E10"/>
    <mergeCell ref="D12:E12"/>
    <mergeCell ref="D11:E11"/>
    <mergeCell ref="C3:D3"/>
    <mergeCell ref="C4:D4"/>
    <mergeCell ref="C5:D5"/>
    <mergeCell ref="D8:E8"/>
    <mergeCell ref="D9:E9"/>
  </mergeCells>
  <conditionalFormatting sqref="E3:E5">
    <cfRule type="expression" dxfId="0" priority="1">
      <formula>$E$3+$E$4+$E$5&lt;&gt;12</formula>
    </cfRule>
  </conditionalFormatting>
  <dataValidations count="7">
    <dataValidation type="list" allowBlank="1" showInputMessage="1" showErrorMessage="1" sqref="A12 A3">
      <formula1>"Trainee,Substitute,Float, Administrator, Early Childhood Educator (Lead),Early Childhood Educator (Secondary),Early Childhood Educator, Casual Caregiver"</formula1>
    </dataValidation>
    <dataValidation type="list" allowBlank="1" showInputMessage="1" showErrorMessage="1" sqref="B2:B3 B12">
      <formula1>"Trainee,Level One,Level Two,Level Three, Level Four"</formula1>
    </dataValidation>
    <dataValidation type="list" allowBlank="1" showInputMessage="1" showErrorMessage="1" sqref="G2">
      <formula1>"Yes,No"</formula1>
    </dataValidation>
    <dataValidation type="list" allowBlank="1" showInputMessage="1" showErrorMessage="1" sqref="C2">
      <formula1>$X$1:$X$61</formula1>
    </dataValidation>
    <dataValidation type="list" allowBlank="1" showInputMessage="1" showErrorMessage="1" sqref="E2">
      <formula1>$Y$1:$Y$97</formula1>
    </dataValidation>
    <dataValidation type="list" allowBlank="1" showInputMessage="1" showErrorMessage="1" sqref="A2">
      <formula1>"Inclusion Worker,Trainee,Substitute,Float, Administrator, Early Childhood Educator (Lead),Early Childhood Educator (Secondary),Early Childhood Educator, Casual Caregiver"</formula1>
    </dataValidation>
    <dataValidation type="list" allowBlank="1" showInputMessage="1" showErrorMessage="1" sqref="E3:E5">
      <formula1>$X$1:$X$13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Legacy Wage Calculator</vt:lpstr>
    </vt:vector>
  </TitlesOfParts>
  <Company>Government of Newfoundland and Labrador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Snow, Richard</dc:creator>
  <cp:lastModifiedBy>Trask, Nora</cp:lastModifiedBy>
  <dcterms:created xsi:type="dcterms:W3CDTF">2023-03-31T17:45:07Z</dcterms:created>
  <dcterms:modified xsi:type="dcterms:W3CDTF">2023-04-28T18:16:06Z</dcterms:modified>
</cp:coreProperties>
</file>