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MAE Docs\"/>
    </mc:Choice>
  </mc:AlternateContent>
  <bookViews>
    <workbookView xWindow="-15" yWindow="-15" windowWidth="15330" windowHeight="9105"/>
  </bookViews>
  <sheets>
    <sheet name="LFFE-91" sheetId="1" r:id="rId1"/>
  </sheets>
  <definedNames>
    <definedName name="\0">'LFFE-91'!$AP$5</definedName>
    <definedName name="\a">'LFFE-91'!$AP$5:$AP$10</definedName>
    <definedName name="\p">'LFFE-91'!$AR$5:$AR$29</definedName>
    <definedName name="_Regression_Int" localSheetId="0" hidden="1">1</definedName>
    <definedName name="ALS">'LFFE-91'!$M$2</definedName>
    <definedName name="B15A">'LFFE-91'!$O$5</definedName>
    <definedName name="B15B">'LFFE-91'!$O$14</definedName>
    <definedName name="B15C">'LFFE-91'!$O$23</definedName>
    <definedName name="B1A">'LFFE-91'!$S$5</definedName>
    <definedName name="B1B">'LFFE-91'!$S$14</definedName>
    <definedName name="B1C">'LFFE-91'!$S$23</definedName>
    <definedName name="B30A">'LFFE-91'!$M$5</definedName>
    <definedName name="B30B">'LFFE-91'!$M$14</definedName>
    <definedName name="B30C">'LFFE-91'!$M$23</definedName>
    <definedName name="B7A">'LFFE-91'!$Q$5</definedName>
    <definedName name="B7B">'LFFE-91'!$Q$14</definedName>
    <definedName name="B7C">'LFFE-91'!$Q$23</definedName>
    <definedName name="BAR">'LFFE-91'!$L$2</definedName>
    <definedName name="DA">'LFFE-91'!$J$2</definedName>
    <definedName name="FAR">'LFFE-91'!$K$2</definedName>
    <definedName name="LOC">'LFFE-91'!$C$4</definedName>
    <definedName name="OUTPUT">'LFFE-91'!$A$1:$G$20</definedName>
    <definedName name="_xlnm.Print_Area" localSheetId="0">'LFFE-91'!$A$1:$G$20</definedName>
    <definedName name="Print_Area_MI" localSheetId="0">'LFFE-91'!$A$1:$G$20</definedName>
    <definedName name="RANGE">'LFFE-91'!$H$13</definedName>
  </definedNames>
  <calcPr calcId="162913" iterate="1" iterateCount="1"/>
</workbook>
</file>

<file path=xl/calcChain.xml><?xml version="1.0" encoding="utf-8"?>
<calcChain xmlns="http://schemas.openxmlformats.org/spreadsheetml/2006/main">
  <c r="J2" i="1" l="1"/>
  <c r="AE30" i="1"/>
  <c r="R28" i="1"/>
  <c r="M23" i="1"/>
  <c r="S23" i="1"/>
  <c r="S27" i="1"/>
  <c r="P28" i="1"/>
  <c r="Q28" i="1"/>
  <c r="Q23" i="1"/>
  <c r="Q27" i="1"/>
  <c r="X27" i="1"/>
  <c r="N28" i="1"/>
  <c r="L28" i="1"/>
  <c r="U30" i="1"/>
  <c r="J30" i="1"/>
  <c r="U29" i="1"/>
  <c r="J29" i="1"/>
  <c r="U28" i="1"/>
  <c r="J28" i="1"/>
  <c r="AE27" i="1"/>
  <c r="AD27" i="1"/>
  <c r="U27" i="1"/>
  <c r="J27" i="1"/>
  <c r="R23" i="1"/>
  <c r="P23" i="1"/>
  <c r="N23" i="1"/>
  <c r="L23" i="1"/>
  <c r="AE21" i="1"/>
  <c r="AD21" i="1"/>
  <c r="R19" i="1"/>
  <c r="M14" i="1"/>
  <c r="S14" i="1"/>
  <c r="S18" i="1"/>
  <c r="P19" i="1"/>
  <c r="Q14" i="1"/>
  <c r="Q18" i="1"/>
  <c r="X18" i="1"/>
  <c r="N19" i="1"/>
  <c r="L19" i="1"/>
  <c r="U21" i="1"/>
  <c r="J21" i="1"/>
  <c r="AE20" i="1"/>
  <c r="AD20" i="1"/>
  <c r="U20" i="1"/>
  <c r="J20" i="1"/>
  <c r="C20" i="1"/>
  <c r="AE19" i="1"/>
  <c r="AD19" i="1"/>
  <c r="U19" i="1"/>
  <c r="J19" i="1"/>
  <c r="L10" i="1"/>
  <c r="K2" i="1"/>
  <c r="M5" i="1"/>
  <c r="M9" i="1"/>
  <c r="V9" i="1"/>
  <c r="G16" i="1"/>
  <c r="N10" i="1"/>
  <c r="O5" i="1"/>
  <c r="O9" i="1"/>
  <c r="O10" i="1"/>
  <c r="P10" i="1"/>
  <c r="Q5" i="1"/>
  <c r="Q9" i="1"/>
  <c r="X9" i="1"/>
  <c r="E16" i="1"/>
  <c r="R10" i="1"/>
  <c r="S5" i="1"/>
  <c r="S9" i="1"/>
  <c r="S10" i="1"/>
  <c r="D4" i="1"/>
  <c r="AD9" i="1"/>
  <c r="E9" i="1"/>
  <c r="H9" i="1"/>
  <c r="AE9" i="1"/>
  <c r="F9" i="1"/>
  <c r="AD10" i="1"/>
  <c r="E10" i="1"/>
  <c r="H10" i="1"/>
  <c r="D10" i="1"/>
  <c r="AE10" i="1"/>
  <c r="F10" i="1"/>
  <c r="AD11" i="1"/>
  <c r="E11" i="1"/>
  <c r="H11" i="1"/>
  <c r="D11" i="1"/>
  <c r="AE11" i="1"/>
  <c r="F11" i="1"/>
  <c r="AD12" i="1"/>
  <c r="E12" i="1"/>
  <c r="AE12" i="1"/>
  <c r="F12" i="1"/>
  <c r="AE18" i="1"/>
  <c r="AD18" i="1"/>
  <c r="U18" i="1"/>
  <c r="J18" i="1"/>
  <c r="B16" i="1"/>
  <c r="B15" i="1"/>
  <c r="R14" i="1"/>
  <c r="P14" i="1"/>
  <c r="N14" i="1"/>
  <c r="L14" i="1"/>
  <c r="U12" i="1"/>
  <c r="J12" i="1"/>
  <c r="B12" i="1"/>
  <c r="U11" i="1"/>
  <c r="J11" i="1"/>
  <c r="B11" i="1"/>
  <c r="U10" i="1"/>
  <c r="J10" i="1"/>
  <c r="B10" i="1"/>
  <c r="U9" i="1"/>
  <c r="J9" i="1"/>
  <c r="O1" i="1"/>
  <c r="B6" i="1"/>
  <c r="O2" i="1"/>
  <c r="R5" i="1"/>
  <c r="P5" i="1"/>
  <c r="N5" i="1"/>
  <c r="L5" i="1"/>
  <c r="O3" i="1"/>
  <c r="M2" i="1"/>
  <c r="L2" i="1"/>
  <c r="I2" i="1"/>
  <c r="H13" i="1"/>
  <c r="B17" i="1"/>
  <c r="B14" i="1"/>
  <c r="D9" i="1"/>
  <c r="X28" i="1"/>
  <c r="Q29" i="1"/>
  <c r="H12" i="1"/>
  <c r="D12" i="1"/>
  <c r="W10" i="1"/>
  <c r="F17" i="1"/>
  <c r="O11" i="1"/>
  <c r="S28" i="1"/>
  <c r="Y27" i="1"/>
  <c r="Q19" i="1"/>
  <c r="Y10" i="1"/>
  <c r="D17" i="1"/>
  <c r="S11" i="1"/>
  <c r="Y18" i="1"/>
  <c r="S19" i="1"/>
  <c r="O14" i="1"/>
  <c r="O18" i="1"/>
  <c r="O23" i="1"/>
  <c r="O27" i="1"/>
  <c r="W27" i="1"/>
  <c r="Y9" i="1"/>
  <c r="D16" i="1"/>
  <c r="W9" i="1"/>
  <c r="F16" i="1"/>
  <c r="Q10" i="1"/>
  <c r="M10" i="1"/>
  <c r="M18" i="1"/>
  <c r="AD28" i="1"/>
  <c r="AD29" i="1"/>
  <c r="M27" i="1"/>
  <c r="AD30" i="1"/>
  <c r="AE28" i="1"/>
  <c r="AE29" i="1"/>
  <c r="S20" i="1"/>
  <c r="Y19" i="1"/>
  <c r="O28" i="1"/>
  <c r="O12" i="1"/>
  <c r="W12" i="1"/>
  <c r="F19" i="1"/>
  <c r="W11" i="1"/>
  <c r="F18" i="1"/>
  <c r="Q30" i="1"/>
  <c r="X30" i="1"/>
  <c r="X29" i="1"/>
  <c r="V18" i="1"/>
  <c r="M19" i="1"/>
  <c r="X19" i="1"/>
  <c r="Q20" i="1"/>
  <c r="X10" i="1"/>
  <c r="E17" i="1"/>
  <c r="Q11" i="1"/>
  <c r="O19" i="1"/>
  <c r="W18" i="1"/>
  <c r="S29" i="1"/>
  <c r="Y28" i="1"/>
  <c r="V27" i="1"/>
  <c r="M28" i="1"/>
  <c r="V10" i="1"/>
  <c r="G17" i="1"/>
  <c r="M11" i="1"/>
  <c r="S12" i="1"/>
  <c r="Y12" i="1"/>
  <c r="D19" i="1"/>
  <c r="Y11" i="1"/>
  <c r="D18" i="1"/>
  <c r="B19" i="1"/>
  <c r="B18" i="1"/>
  <c r="S30" i="1"/>
  <c r="Y30" i="1"/>
  <c r="Y29" i="1"/>
  <c r="M29" i="1"/>
  <c r="V28" i="1"/>
  <c r="Q21" i="1"/>
  <c r="X21" i="1"/>
  <c r="X20" i="1"/>
  <c r="W28" i="1"/>
  <c r="O29" i="1"/>
  <c r="O20" i="1"/>
  <c r="W19" i="1"/>
  <c r="M12" i="1"/>
  <c r="V12" i="1"/>
  <c r="G19" i="1"/>
  <c r="V11" i="1"/>
  <c r="G18" i="1"/>
  <c r="Q12" i="1"/>
  <c r="X12" i="1"/>
  <c r="E19" i="1"/>
  <c r="X11" i="1"/>
  <c r="E18" i="1"/>
  <c r="M20" i="1"/>
  <c r="V19" i="1"/>
  <c r="S21" i="1"/>
  <c r="Y21" i="1"/>
  <c r="Y20" i="1"/>
  <c r="W29" i="1"/>
  <c r="O30" i="1"/>
  <c r="W30" i="1"/>
  <c r="M21" i="1"/>
  <c r="V21" i="1"/>
  <c r="V20" i="1"/>
  <c r="M30" i="1"/>
  <c r="V30" i="1"/>
  <c r="V29" i="1"/>
  <c r="W20" i="1"/>
  <c r="O21" i="1"/>
  <c r="W21" i="1"/>
</calcChain>
</file>

<file path=xl/sharedStrings.xml><?xml version="1.0" encoding="utf-8"?>
<sst xmlns="http://schemas.openxmlformats.org/spreadsheetml/2006/main" count="203" uniqueCount="64">
  <si>
    <t>Regional Frequency Estimates of Low Flows for the Island of Newfoundland.</t>
  </si>
  <si>
    <t xml:space="preserve">    DA</t>
  </si>
  <si>
    <t xml:space="preserve">   FAR</t>
  </si>
  <si>
    <t xml:space="preserve">   BAR</t>
  </si>
  <si>
    <t xml:space="preserve">   ALS</t>
  </si>
  <si>
    <t xml:space="preserve">            ***************************************************</t>
  </si>
  <si>
    <t>Name of watershed...............</t>
  </si>
  <si>
    <t>Watershed Name</t>
  </si>
  <si>
    <t>Location of watershed...........</t>
  </si>
  <si>
    <t>Macro /0</t>
  </si>
  <si>
    <t>Macro Alt-P</t>
  </si>
  <si>
    <t>(Eastern-Southwestern=1, North-Central=2, Humber &amp; Northern Peninsula=3)</t>
  </si>
  <si>
    <t>Region A</t>
  </si>
  <si>
    <t xml:space="preserve">   Region</t>
  </si>
  <si>
    <t>day</t>
  </si>
  <si>
    <t>{home}{goto}ag1~</t>
  </si>
  <si>
    <t>/pproutput~a{right}{?}gpq</t>
  </si>
  <si>
    <t>-</t>
  </si>
  <si>
    <t>lower</t>
  </si>
  <si>
    <t>Upper</t>
  </si>
  <si>
    <t>{goto}aj19~</t>
  </si>
  <si>
    <t>T</t>
  </si>
  <si>
    <t>BETA_30</t>
  </si>
  <si>
    <t>Q_30</t>
  </si>
  <si>
    <t>BETA_15</t>
  </si>
  <si>
    <t>Q_15</t>
  </si>
  <si>
    <t>BETA_7</t>
  </si>
  <si>
    <t>Q_7</t>
  </si>
  <si>
    <t>BETA_1</t>
  </si>
  <si>
    <t>Q_1</t>
  </si>
  <si>
    <t>{?}</t>
  </si>
  <si>
    <t>..... Physiographic Parameters .....</t>
  </si>
  <si>
    <t xml:space="preserve">  Parameter Range</t>
  </si>
  <si>
    <t>Range Check</t>
  </si>
  <si>
    <t>(year)</t>
  </si>
  <si>
    <t>Factor</t>
  </si>
  <si>
    <t>(l/s)</t>
  </si>
  <si>
    <t>{home}</t>
  </si>
  <si>
    <t>DA Area of watershed</t>
  </si>
  <si>
    <t xml:space="preserve">      2</t>
  </si>
  <si>
    <t>DA</t>
  </si>
  <si>
    <t xml:space="preserve">                  Government of Newfoundland and Labrador</t>
  </si>
  <si>
    <t>{goto}</t>
  </si>
  <si>
    <t xml:space="preserve">     10</t>
  </si>
  <si>
    <t>FAR</t>
  </si>
  <si>
    <t>c3~</t>
  </si>
  <si>
    <t xml:space="preserve">     20</t>
  </si>
  <si>
    <t>BAR</t>
  </si>
  <si>
    <t xml:space="preserve">     50</t>
  </si>
  <si>
    <t>ALS</t>
  </si>
  <si>
    <t>*</t>
  </si>
  <si>
    <t>Low Flows (l/s)</t>
  </si>
  <si>
    <t>Region B</t>
  </si>
  <si>
    <t>1-day</t>
  </si>
  <si>
    <t>7-day</t>
  </si>
  <si>
    <t>15-day</t>
  </si>
  <si>
    <t>30-day</t>
  </si>
  <si>
    <t xml:space="preserve">                   [Use Alt-P to Print Output When Ready]</t>
  </si>
  <si>
    <t xml:space="preserve">                         [Press Enter to Continue]</t>
  </si>
  <si>
    <t>Region C</t>
  </si>
  <si>
    <t xml:space="preserve">      Regional Frequency Estimates of Low Flows</t>
  </si>
  <si>
    <t xml:space="preserve">                 Department of Environment and Conservation</t>
  </si>
  <si>
    <t xml:space="preserve">                    Water Resources Management Division</t>
  </si>
  <si>
    <t xml:space="preserve">                Regional Frequency Estimates of Low Flows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</si>
</sst>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_)"/>
    <numFmt numFmtId="165" formatCode="0.0_)"/>
    <numFmt numFmtId="166" formatCode="0_)"/>
  </numFmts>
  <fonts count="3" x14ac:knownFonts="1">
    <font>
      <sz val="10"/>
      <name val="Courier"/>
    </font>
    <font>
      <sz val="10"/>
      <color indexed="12"/>
      <name val="Courier"/>
    </font>
    <font>
      <sz val="8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Protection="1"/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right"/>
    </xf>
    <xf numFmtId="164" fontId="0" fillId="0" borderId="0" xfId="0" applyNumberFormat="1" applyProtection="1"/>
    <xf numFmtId="0" fontId="0" fillId="0" borderId="0" xfId="0" applyAlignment="1" applyProtection="1">
      <alignment horizontal="fill"/>
    </xf>
    <xf numFmtId="0" fontId="0" fillId="0" borderId="0" xfId="0" applyAlignment="1" applyProtection="1">
      <alignment horizontal="center"/>
    </xf>
    <xf numFmtId="165" fontId="0" fillId="0" borderId="0" xfId="0" applyNumberFormat="1" applyProtection="1"/>
    <xf numFmtId="166" fontId="0" fillId="0" borderId="0" xfId="0" applyNumberFormat="1" applyProtection="1"/>
    <xf numFmtId="37" fontId="0" fillId="0" borderId="0" xfId="0" applyNumberFormat="1" applyProtection="1"/>
    <xf numFmtId="164" fontId="0" fillId="0" borderId="0" xfId="0" applyNumberForma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AR32"/>
  <sheetViews>
    <sheetView tabSelected="1" workbookViewId="0">
      <selection activeCell="C16" sqref="C16"/>
    </sheetView>
  </sheetViews>
  <sheetFormatPr defaultColWidth="9.625" defaultRowHeight="12" x14ac:dyDescent="0.15"/>
  <cols>
    <col min="1" max="1" width="1.625" customWidth="1"/>
    <col min="2" max="2" width="33.625" customWidth="1"/>
    <col min="3" max="3" width="6.625" customWidth="1"/>
    <col min="4" max="7" width="8.625" customWidth="1"/>
    <col min="9" max="9" width="19.625" customWidth="1"/>
  </cols>
  <sheetData>
    <row r="1" spans="1:44" x14ac:dyDescent="0.15">
      <c r="A1" s="1" t="s">
        <v>0</v>
      </c>
      <c r="J1" s="1" t="s">
        <v>1</v>
      </c>
      <c r="K1" s="1" t="s">
        <v>2</v>
      </c>
      <c r="L1" s="1" t="s">
        <v>3</v>
      </c>
      <c r="M1" s="1" t="s">
        <v>4</v>
      </c>
      <c r="O1" s="2" t="str">
        <f>IF($C$4=1,"Range of Mean Annual Runoff for Region "&amp;FIXED($C$4,0,TRUE)&amp;" = 1100 mm to 2100 mm",NA())</f>
        <v>Range of Mean Annual Runoff for Region 1 = 1100 mm to 2100 mm</v>
      </c>
      <c r="AG1" s="1" t="s">
        <v>63</v>
      </c>
    </row>
    <row r="2" spans="1:44" x14ac:dyDescent="0.15">
      <c r="I2" s="2" t="str">
        <f>IF(C10,"Eqn 1 used in Reg A","Eqn 2 used in Reg A")</f>
        <v>Eqn 1 used in Reg A</v>
      </c>
      <c r="J2" s="2">
        <f>IF(C9&gt;0,IF(C10&gt;C9,#VALUE!,C9),#VALUE!)</f>
        <v>42.7</v>
      </c>
      <c r="K2" s="2">
        <f>IF(C10&gt;0,C10*100/C9,"")</f>
        <v>35</v>
      </c>
      <c r="L2" s="2">
        <f>IF(C11,C11/C9*100,"")</f>
        <v>47</v>
      </c>
      <c r="M2" s="2">
        <f>IF(C12,C12/C9*100,"")</f>
        <v>18</v>
      </c>
      <c r="O2" s="2" t="e">
        <f>IF($C$4=2,"Range of Mean Annual Runoff for Region "&amp;FIXED($C$4,0,TRUE)&amp;" = 700 mm to 1100 mm",NA())</f>
        <v>#N/A</v>
      </c>
      <c r="AG2" s="1" t="s">
        <v>5</v>
      </c>
    </row>
    <row r="3" spans="1:44" x14ac:dyDescent="0.15">
      <c r="B3" s="1" t="s">
        <v>6</v>
      </c>
      <c r="C3" s="3" t="s">
        <v>7</v>
      </c>
      <c r="D3" s="4"/>
      <c r="E3" s="4"/>
      <c r="F3" s="4"/>
      <c r="O3" s="2" t="e">
        <f>IF($C$4=3,"Range of Mean Annual Runoff for Region "&amp;FIXED($C$4,0,TRUE)&amp;" = 900 mm to 1400 mm",NA())</f>
        <v>#N/A</v>
      </c>
    </row>
    <row r="4" spans="1:44" x14ac:dyDescent="0.15">
      <c r="B4" s="1" t="s">
        <v>8</v>
      </c>
      <c r="C4" s="4">
        <v>1</v>
      </c>
      <c r="D4" s="2" t="str">
        <f>IF($C$4=1," Eastern &amp; Southwestern",IF($C$4=2," North &amp; Central",IF($C$4=3," Humber Valley &amp; Northern Pen.",#VALUE!)))</f>
        <v xml:space="preserve"> Eastern &amp; Southwestern</v>
      </c>
      <c r="V4" s="2">
        <v>30</v>
      </c>
      <c r="W4" s="2">
        <v>15</v>
      </c>
      <c r="X4" s="2">
        <v>7</v>
      </c>
      <c r="Y4" s="2">
        <v>1</v>
      </c>
      <c r="AP4" s="1" t="s">
        <v>9</v>
      </c>
      <c r="AR4" s="1" t="s">
        <v>10</v>
      </c>
    </row>
    <row r="5" spans="1:44" x14ac:dyDescent="0.15">
      <c r="A5" s="1" t="s">
        <v>11</v>
      </c>
      <c r="K5" s="1" t="s">
        <v>12</v>
      </c>
      <c r="L5" s="2" t="str">
        <f>L7&amp;"="</f>
        <v>BETA_30=</v>
      </c>
      <c r="M5" s="2">
        <f>IF(K2,14.8594*$J$2^1.14*$K$2^-0.251,4.9774*J2^1.192)</f>
        <v>439.67115270009651</v>
      </c>
      <c r="N5" s="2" t="str">
        <f>N7&amp;"="</f>
        <v>BETA_15=</v>
      </c>
      <c r="O5" s="2">
        <f>0.6699*$M$5^1.006</f>
        <v>305.48980245231684</v>
      </c>
      <c r="P5" s="2" t="str">
        <f>P7&amp;"="</f>
        <v>BETA_7=</v>
      </c>
      <c r="Q5" s="2">
        <f>0.5236*$M$5^1.01</f>
        <v>244.65770054072487</v>
      </c>
      <c r="R5" s="2" t="str">
        <f>R7&amp;"="</f>
        <v>BETA_1=</v>
      </c>
      <c r="S5" s="2">
        <f>0.4198*$M$5^1.015</f>
        <v>202.21684296750448</v>
      </c>
      <c r="U5" s="1" t="s">
        <v>13</v>
      </c>
      <c r="V5" s="5" t="s">
        <v>14</v>
      </c>
      <c r="W5" s="5" t="s">
        <v>14</v>
      </c>
      <c r="X5" s="5" t="s">
        <v>14</v>
      </c>
      <c r="Y5" s="5" t="s">
        <v>14</v>
      </c>
      <c r="Z5" s="6"/>
      <c r="AA5" s="6"/>
      <c r="AB5" s="6"/>
      <c r="AP5" s="1" t="s">
        <v>15</v>
      </c>
      <c r="AR5" s="1" t="s">
        <v>16</v>
      </c>
    </row>
    <row r="6" spans="1:44" x14ac:dyDescent="0.15">
      <c r="B6" s="2" t="str">
        <f>IF(C4=1,O1,IF(C4=2,O2,IF(C4=3,O3,#VALUE!)))</f>
        <v>Range of Mean Annual Runoff for Region 1 = 1100 mm to 2100 mm</v>
      </c>
      <c r="J6" s="7" t="s">
        <v>17</v>
      </c>
      <c r="K6" s="7" t="s">
        <v>17</v>
      </c>
      <c r="L6" s="7" t="s">
        <v>17</v>
      </c>
      <c r="M6" s="7" t="s">
        <v>17</v>
      </c>
      <c r="N6" s="7" t="s">
        <v>17</v>
      </c>
      <c r="O6" s="7" t="s">
        <v>17</v>
      </c>
      <c r="P6" s="7" t="s">
        <v>17</v>
      </c>
      <c r="Q6" s="7" t="s">
        <v>17</v>
      </c>
      <c r="R6" s="7" t="s">
        <v>17</v>
      </c>
      <c r="S6" s="7" t="s">
        <v>17</v>
      </c>
      <c r="U6" s="7" t="s">
        <v>17</v>
      </c>
      <c r="V6" s="7" t="s">
        <v>17</v>
      </c>
      <c r="W6" s="7" t="s">
        <v>17</v>
      </c>
      <c r="X6" s="7" t="s">
        <v>17</v>
      </c>
      <c r="Y6" s="7" t="s">
        <v>17</v>
      </c>
      <c r="AA6" s="2"/>
      <c r="AB6" s="1" t="s">
        <v>18</v>
      </c>
      <c r="AC6" s="1" t="s">
        <v>19</v>
      </c>
      <c r="AD6" s="1" t="s">
        <v>18</v>
      </c>
      <c r="AE6" s="1" t="s">
        <v>19</v>
      </c>
      <c r="AP6" s="1" t="s">
        <v>20</v>
      </c>
    </row>
    <row r="7" spans="1:44" x14ac:dyDescent="0.15">
      <c r="K7" s="8" t="s">
        <v>21</v>
      </c>
      <c r="L7" s="1" t="s">
        <v>22</v>
      </c>
      <c r="M7" s="1" t="s">
        <v>23</v>
      </c>
      <c r="N7" s="1" t="s">
        <v>24</v>
      </c>
      <c r="O7" s="1" t="s">
        <v>25</v>
      </c>
      <c r="P7" s="1" t="s">
        <v>26</v>
      </c>
      <c r="Q7" s="1" t="s">
        <v>27</v>
      </c>
      <c r="R7" s="1" t="s">
        <v>28</v>
      </c>
      <c r="S7" s="1" t="s">
        <v>29</v>
      </c>
      <c r="AH7" s="1" t="s">
        <v>60</v>
      </c>
      <c r="AP7" s="1" t="s">
        <v>30</v>
      </c>
    </row>
    <row r="8" spans="1:44" x14ac:dyDescent="0.15">
      <c r="B8" s="1" t="s">
        <v>31</v>
      </c>
      <c r="E8" s="1" t="s">
        <v>32</v>
      </c>
      <c r="H8" s="1" t="s">
        <v>33</v>
      </c>
      <c r="J8" s="1" t="s">
        <v>13</v>
      </c>
      <c r="K8" s="8" t="s">
        <v>34</v>
      </c>
      <c r="L8" s="1" t="s">
        <v>35</v>
      </c>
      <c r="M8" s="8" t="s">
        <v>36</v>
      </c>
      <c r="N8" s="1" t="s">
        <v>35</v>
      </c>
      <c r="O8" s="8" t="s">
        <v>36</v>
      </c>
      <c r="P8" s="1" t="s">
        <v>35</v>
      </c>
      <c r="Q8" s="8" t="s">
        <v>36</v>
      </c>
      <c r="R8" s="1" t="s">
        <v>35</v>
      </c>
      <c r="S8" s="8" t="s">
        <v>36</v>
      </c>
      <c r="AP8" s="1" t="s">
        <v>37</v>
      </c>
    </row>
    <row r="9" spans="1:44" x14ac:dyDescent="0.15">
      <c r="B9" s="1" t="s">
        <v>38</v>
      </c>
      <c r="C9" s="4">
        <v>42.7</v>
      </c>
      <c r="D9" s="2" t="str">
        <f>IF(H9,"km²  **","km²")</f>
        <v>km²</v>
      </c>
      <c r="E9" s="9">
        <f t="shared" ref="E9:F12" si="0">IF($C$4=1,AD9,IF($C$4=2,AD18,IF($C$4=3,AD27,#VALUE!)))</f>
        <v>4</v>
      </c>
      <c r="F9" s="9">
        <f t="shared" si="0"/>
        <v>200</v>
      </c>
      <c r="H9" s="2">
        <f>IF(OR(C9&lt;E9,C9&gt;F9),1,0)</f>
        <v>0</v>
      </c>
      <c r="J9" s="2">
        <f>IF($C$4=1,1,0)</f>
        <v>1</v>
      </c>
      <c r="K9" s="1" t="s">
        <v>39</v>
      </c>
      <c r="L9" s="6">
        <v>0.83199999999999996</v>
      </c>
      <c r="M9" s="10">
        <f>L9*$M$5</f>
        <v>365.80639904648029</v>
      </c>
      <c r="N9" s="6">
        <v>0.83299999999999996</v>
      </c>
      <c r="O9" s="10">
        <f>N9*$O$5</f>
        <v>254.47300544277991</v>
      </c>
      <c r="P9" s="6">
        <v>0.83099999999999996</v>
      </c>
      <c r="Q9" s="10">
        <f>P9*$Q$5</f>
        <v>203.31054914934236</v>
      </c>
      <c r="R9" s="6">
        <v>0.83099999999999996</v>
      </c>
      <c r="S9" s="10">
        <f>R9*$S$5</f>
        <v>168.0421965059962</v>
      </c>
      <c r="U9" s="2">
        <f>IF($C$4=1,1,0)</f>
        <v>1</v>
      </c>
      <c r="V9" s="10">
        <f>M9</f>
        <v>365.80639904648029</v>
      </c>
      <c r="W9" s="10">
        <f>O9</f>
        <v>254.47300544277991</v>
      </c>
      <c r="X9" s="10">
        <f>Q9</f>
        <v>203.31054914934236</v>
      </c>
      <c r="Y9" s="10">
        <f>S9</f>
        <v>168.0421965059962</v>
      </c>
      <c r="AA9" s="5" t="s">
        <v>40</v>
      </c>
      <c r="AB9" s="10">
        <v>4</v>
      </c>
      <c r="AC9" s="2">
        <v>200</v>
      </c>
      <c r="AD9" s="9">
        <f>AB9</f>
        <v>4</v>
      </c>
      <c r="AE9" s="9">
        <f>AC9</f>
        <v>200</v>
      </c>
      <c r="AG9" s="1" t="s">
        <v>41</v>
      </c>
      <c r="AP9" s="1" t="s">
        <v>42</v>
      </c>
    </row>
    <row r="10" spans="1:44" x14ac:dyDescent="0.15">
      <c r="B10" s="2" t="str">
        <f>"FAR Forested Area "&amp;IF((C4=1),"(X if Unavail.)","    (Not Used)")</f>
        <v>FAR Forested Area (X if Unavail.)</v>
      </c>
      <c r="C10" s="4">
        <v>14.945</v>
      </c>
      <c r="D10" s="2" t="str">
        <f>IF(H10,"km²  **","km²")</f>
        <v>km²</v>
      </c>
      <c r="E10" s="9">
        <f t="shared" si="0"/>
        <v>4.2699999999999996</v>
      </c>
      <c r="F10" s="9">
        <f t="shared" si="0"/>
        <v>29.89</v>
      </c>
      <c r="H10" s="2">
        <f>IF(OR(C10&lt;E10,C10&gt;F10),IF(LEN(C20)&gt;0,0,1),0)</f>
        <v>0</v>
      </c>
      <c r="J10" s="2">
        <f>IF($C$4=1,1,0)</f>
        <v>1</v>
      </c>
      <c r="K10" s="1" t="s">
        <v>43</v>
      </c>
      <c r="L10" s="6">
        <f>0.773*0.61</f>
        <v>0.47153</v>
      </c>
      <c r="M10" s="10">
        <f>L10*M9</f>
        <v>172.48869134238686</v>
      </c>
      <c r="N10" s="6">
        <f>0.764*0.605</f>
        <v>0.46222000000000002</v>
      </c>
      <c r="O10" s="10">
        <f>N10*O9</f>
        <v>117.62251257576173</v>
      </c>
      <c r="P10" s="6">
        <f>0.781*0.61</f>
        <v>0.47641</v>
      </c>
      <c r="Q10" s="10">
        <f>P10*Q9</f>
        <v>96.859178720238191</v>
      </c>
      <c r="R10" s="6">
        <f>0.769*0.606</f>
        <v>0.46601399999999998</v>
      </c>
      <c r="S10" s="10">
        <f>R10*S9</f>
        <v>78.31001616254531</v>
      </c>
      <c r="U10" s="2">
        <f>IF($C$4=1,1,0)</f>
        <v>1</v>
      </c>
      <c r="V10" s="10">
        <f>M10</f>
        <v>172.48869134238686</v>
      </c>
      <c r="W10" s="10">
        <f>O10</f>
        <v>117.62251257576173</v>
      </c>
      <c r="X10" s="10">
        <f>Q10</f>
        <v>96.859178720238191</v>
      </c>
      <c r="Y10" s="10">
        <f>S10</f>
        <v>78.31001616254531</v>
      </c>
      <c r="AA10" s="5" t="s">
        <v>44</v>
      </c>
      <c r="AB10" s="10">
        <v>10</v>
      </c>
      <c r="AC10" s="2">
        <v>70</v>
      </c>
      <c r="AD10" s="9">
        <f t="shared" ref="AD10:AE12" si="1">$J$2*AB10/100</f>
        <v>4.2699999999999996</v>
      </c>
      <c r="AE10" s="9">
        <f t="shared" si="1"/>
        <v>29.89</v>
      </c>
      <c r="AG10" s="1" t="s">
        <v>61</v>
      </c>
      <c r="AP10" s="1" t="s">
        <v>45</v>
      </c>
    </row>
    <row r="11" spans="1:44" x14ac:dyDescent="0.15">
      <c r="B11" s="2" t="str">
        <f>"BAR Barren Area       (Not Used)"</f>
        <v>BAR Barren Area       (Not Used)</v>
      </c>
      <c r="C11" s="4">
        <v>20.068999999999999</v>
      </c>
      <c r="D11" s="2" t="str">
        <f>IF(H11,"km²  **","km²")</f>
        <v>km²</v>
      </c>
      <c r="E11" s="9">
        <f t="shared" si="0"/>
        <v>10.675000000000001</v>
      </c>
      <c r="F11" s="9">
        <f t="shared" si="0"/>
        <v>32.024999999999999</v>
      </c>
      <c r="H11" s="2">
        <f>IF(OR(C11&lt;E11,C11&gt;F11),1,0)</f>
        <v>0</v>
      </c>
      <c r="J11" s="2">
        <f>IF($C$4=1,1,0)</f>
        <v>1</v>
      </c>
      <c r="K11" s="1" t="s">
        <v>46</v>
      </c>
      <c r="L11" s="6">
        <v>0.82899999999999996</v>
      </c>
      <c r="M11" s="10">
        <f>L11*M10</f>
        <v>142.99312512283871</v>
      </c>
      <c r="N11" s="6">
        <v>0.82899999999999996</v>
      </c>
      <c r="O11" s="10">
        <f>N11*O10</f>
        <v>97.509062925306466</v>
      </c>
      <c r="P11" s="6">
        <v>0.84</v>
      </c>
      <c r="Q11" s="10">
        <f>P11*Q10</f>
        <v>81.361710125000073</v>
      </c>
      <c r="R11" s="6">
        <v>0.82199999999999995</v>
      </c>
      <c r="S11" s="10">
        <f>R11*S10</f>
        <v>64.370833285612235</v>
      </c>
      <c r="U11" s="2">
        <f>IF($C$4=1,1,0)</f>
        <v>1</v>
      </c>
      <c r="V11" s="10">
        <f>M11</f>
        <v>142.99312512283871</v>
      </c>
      <c r="W11" s="10">
        <f>O11</f>
        <v>97.509062925306466</v>
      </c>
      <c r="X11" s="10">
        <f>Q11</f>
        <v>81.361710125000073</v>
      </c>
      <c r="Y11" s="10">
        <f>S11</f>
        <v>64.370833285612235</v>
      </c>
      <c r="AA11" s="5" t="s">
        <v>47</v>
      </c>
      <c r="AB11" s="10">
        <v>25</v>
      </c>
      <c r="AC11" s="2">
        <v>75</v>
      </c>
      <c r="AD11" s="9">
        <f t="shared" si="1"/>
        <v>10.675000000000001</v>
      </c>
      <c r="AE11" s="9">
        <f t="shared" si="1"/>
        <v>32.024999999999999</v>
      </c>
      <c r="AG11" s="1" t="s">
        <v>62</v>
      </c>
    </row>
    <row r="12" spans="1:44" x14ac:dyDescent="0.15">
      <c r="B12" s="2" t="str">
        <f>"ALS Lakes+Swamps Area (Not Used)"</f>
        <v>ALS Lakes+Swamps Area (Not Used)</v>
      </c>
      <c r="C12" s="4">
        <v>7.6859999999999999</v>
      </c>
      <c r="D12" s="2" t="str">
        <f>IF(H12,"km²  **","km²")</f>
        <v>km²</v>
      </c>
      <c r="E12" s="9">
        <f t="shared" si="0"/>
        <v>4.2699999999999996</v>
      </c>
      <c r="F12" s="9">
        <f t="shared" si="0"/>
        <v>8.5399999999999991</v>
      </c>
      <c r="H12" s="2">
        <f>IF(OR(C12&lt;E12,C12&gt;F12),1,0)</f>
        <v>0</v>
      </c>
      <c r="J12" s="2">
        <f>IF($C$4=1,1,0)</f>
        <v>1</v>
      </c>
      <c r="K12" s="1" t="s">
        <v>48</v>
      </c>
      <c r="L12" s="6">
        <v>0.85299999999999998</v>
      </c>
      <c r="M12" s="10">
        <f>L12*M11</f>
        <v>121.97313572978142</v>
      </c>
      <c r="N12" s="6">
        <v>0.85299999999999998</v>
      </c>
      <c r="O12" s="10">
        <f>N12*O11</f>
        <v>83.175230675286414</v>
      </c>
      <c r="P12" s="6">
        <v>0.86599999999999999</v>
      </c>
      <c r="Q12" s="10">
        <f>P12*Q11</f>
        <v>70.459240968250057</v>
      </c>
      <c r="R12" s="6">
        <v>0.67600000000000005</v>
      </c>
      <c r="S12" s="10">
        <f>R12*S11</f>
        <v>43.514683301073873</v>
      </c>
      <c r="U12" s="2">
        <f>IF($C$4=1,1,0)</f>
        <v>1</v>
      </c>
      <c r="V12" s="10">
        <f>M12</f>
        <v>121.97313572978142</v>
      </c>
      <c r="W12" s="10">
        <f>O12</f>
        <v>83.175230675286414</v>
      </c>
      <c r="X12" s="10">
        <f>Q12</f>
        <v>70.459240968250057</v>
      </c>
      <c r="Y12" s="10">
        <f>S12</f>
        <v>43.514683301073873</v>
      </c>
      <c r="AA12" s="5" t="s">
        <v>49</v>
      </c>
      <c r="AB12" s="10">
        <v>10</v>
      </c>
      <c r="AC12" s="2">
        <v>20</v>
      </c>
      <c r="AD12" s="9">
        <f t="shared" si="1"/>
        <v>4.2699999999999996</v>
      </c>
      <c r="AE12" s="9">
        <f t="shared" si="1"/>
        <v>8.5399999999999991</v>
      </c>
    </row>
    <row r="13" spans="1:44" x14ac:dyDescent="0.15">
      <c r="H13" s="2">
        <f>SUM(H9:H12)</f>
        <v>0</v>
      </c>
      <c r="J13" s="7" t="s">
        <v>50</v>
      </c>
      <c r="K13" s="7" t="s">
        <v>50</v>
      </c>
      <c r="L13" s="7" t="s">
        <v>50</v>
      </c>
      <c r="M13" s="7" t="s">
        <v>50</v>
      </c>
      <c r="N13" s="7" t="s">
        <v>50</v>
      </c>
      <c r="O13" s="7" t="s">
        <v>50</v>
      </c>
      <c r="P13" s="7" t="s">
        <v>50</v>
      </c>
      <c r="Q13" s="7" t="s">
        <v>50</v>
      </c>
      <c r="R13" s="7" t="s">
        <v>50</v>
      </c>
      <c r="S13" s="7" t="s">
        <v>50</v>
      </c>
      <c r="AD13" s="9"/>
      <c r="AE13" s="9"/>
    </row>
    <row r="14" spans="1:44" x14ac:dyDescent="0.15">
      <c r="B14" s="2" t="str">
        <f>IF(AND(AND($B$15="",$B$16=""),$B$17=""),"","... WARNINGS &amp; ERROR DIAGNOSIS ...")</f>
        <v/>
      </c>
      <c r="C14" s="8" t="s">
        <v>21</v>
      </c>
      <c r="E14" s="1" t="s">
        <v>51</v>
      </c>
      <c r="K14" s="1" t="s">
        <v>52</v>
      </c>
      <c r="L14" s="2" t="str">
        <f>L16&amp;"="</f>
        <v>BETA_30=</v>
      </c>
      <c r="M14" s="2">
        <f>5.0466*$J$2^0.966</f>
        <v>189.66719028066657</v>
      </c>
      <c r="N14" s="2" t="str">
        <f>N16&amp;"="</f>
        <v>BETA_15=</v>
      </c>
      <c r="O14" s="2">
        <f>0.4046*M14^1.099</f>
        <v>128.98503264499607</v>
      </c>
      <c r="P14" s="2" t="str">
        <f>P16&amp;"="</f>
        <v>BETA_7=</v>
      </c>
      <c r="Q14" s="2">
        <f>0.228*M14^1.166</f>
        <v>103.29368344258302</v>
      </c>
      <c r="R14" s="2" t="str">
        <f>R16&amp;"="</f>
        <v>BETA_1=</v>
      </c>
      <c r="S14" s="2">
        <f>0.1449*M14^1.214</f>
        <v>84.440525846985736</v>
      </c>
      <c r="AD14" s="9"/>
      <c r="AE14" s="9"/>
    </row>
    <row r="15" spans="1:44" x14ac:dyDescent="0.15">
      <c r="B15" s="2" t="str">
        <f>IF(ISERR($D$4),"** Check code for location (1-3)","")</f>
        <v/>
      </c>
      <c r="C15" s="8" t="s">
        <v>34</v>
      </c>
      <c r="D15" s="8" t="s">
        <v>53</v>
      </c>
      <c r="E15" s="8" t="s">
        <v>54</v>
      </c>
      <c r="F15" s="8" t="s">
        <v>55</v>
      </c>
      <c r="G15" s="8" t="s">
        <v>56</v>
      </c>
      <c r="J15" s="7" t="s">
        <v>17</v>
      </c>
      <c r="K15" s="7" t="s">
        <v>17</v>
      </c>
      <c r="L15" s="7" t="s">
        <v>17</v>
      </c>
      <c r="M15" s="7" t="s">
        <v>17</v>
      </c>
      <c r="N15" s="7" t="s">
        <v>17</v>
      </c>
      <c r="O15" s="7" t="s">
        <v>17</v>
      </c>
      <c r="P15" s="7" t="s">
        <v>17</v>
      </c>
      <c r="Q15" s="7" t="s">
        <v>17</v>
      </c>
      <c r="R15" s="7" t="s">
        <v>17</v>
      </c>
      <c r="S15" s="7" t="s">
        <v>17</v>
      </c>
      <c r="AD15" s="9"/>
      <c r="AE15" s="9"/>
      <c r="AG15" s="1" t="s">
        <v>57</v>
      </c>
    </row>
    <row r="16" spans="1:44" x14ac:dyDescent="0.15">
      <c r="B16" s="2" t="str">
        <f>IF((C9*1.00001)&gt;(C10+C11+C12),"","** Check... DA &gt; (FAR+BAR+ALS)")</f>
        <v/>
      </c>
      <c r="C16" s="2">
        <v>2</v>
      </c>
      <c r="D16" s="11">
        <f>IF($C$4=1,Y9,IF($C$4=2,Y18,IF($C$4=3,Y27,#VALUE!)))</f>
        <v>168.0421965059962</v>
      </c>
      <c r="E16" s="11">
        <f>IF($C$4=1,X9,IF($C$4=2,X18,IF($C$4=3,X27,#VALUE!)))</f>
        <v>203.31054914934236</v>
      </c>
      <c r="F16" s="11">
        <f>IF($C$4=1,W9,IF($C$4=2,W18,IF($C$4=3,W27,#VALUE!)))</f>
        <v>254.47300544277991</v>
      </c>
      <c r="G16" s="11">
        <f>IF($C$4=1,V9,IF($C$4=2,V18,IF($C$4=3,V27,#VALUE!)))</f>
        <v>365.80639904648029</v>
      </c>
      <c r="K16" s="8" t="s">
        <v>21</v>
      </c>
      <c r="L16" s="1" t="s">
        <v>22</v>
      </c>
      <c r="M16" s="1" t="s">
        <v>23</v>
      </c>
      <c r="N16" s="1" t="s">
        <v>24</v>
      </c>
      <c r="O16" s="1" t="s">
        <v>25</v>
      </c>
      <c r="P16" s="12" t="s">
        <v>26</v>
      </c>
      <c r="Q16" s="1" t="s">
        <v>27</v>
      </c>
      <c r="R16" s="12" t="s">
        <v>28</v>
      </c>
      <c r="S16" s="1" t="s">
        <v>29</v>
      </c>
      <c r="AD16" s="9"/>
      <c r="AE16" s="9"/>
    </row>
    <row r="17" spans="2:33" x14ac:dyDescent="0.15">
      <c r="B17" s="2" t="str">
        <f>IF(ISERR($D$4),"",IF($H$13,"** Use results with caution:",""))</f>
        <v/>
      </c>
      <c r="C17" s="2">
        <v>10</v>
      </c>
      <c r="D17" s="11">
        <f>IF($C$4=1,Y10,IF($C$4=2,Y19,IF($C$4=3,Y28,#VALUE!)))</f>
        <v>78.31001616254531</v>
      </c>
      <c r="E17" s="11">
        <f>IF($C$4=1,X10,IF($C$4=2,X19,IF($C$4=3,X28,#VALUE!)))</f>
        <v>96.859178720238191</v>
      </c>
      <c r="F17" s="11">
        <f>IF($C$4=1,W10,IF($C$4=2,W19,IF($C$4=3,W28,#VALUE!)))</f>
        <v>117.62251257576173</v>
      </c>
      <c r="G17" s="11">
        <f>IF($C$4=1,V10,IF($C$4=2,V19,IF($C$4=3,V28,#VALUE!)))</f>
        <v>172.48869134238686</v>
      </c>
      <c r="K17" s="8" t="s">
        <v>34</v>
      </c>
      <c r="L17" s="1" t="s">
        <v>35</v>
      </c>
      <c r="M17" s="8" t="s">
        <v>36</v>
      </c>
      <c r="N17" s="1" t="s">
        <v>35</v>
      </c>
      <c r="O17" s="8" t="s">
        <v>36</v>
      </c>
      <c r="P17" s="12" t="s">
        <v>35</v>
      </c>
      <c r="Q17" s="8" t="s">
        <v>36</v>
      </c>
      <c r="R17" s="12" t="s">
        <v>35</v>
      </c>
      <c r="S17" s="8" t="s">
        <v>36</v>
      </c>
      <c r="AD17" s="9"/>
      <c r="AE17" s="9"/>
    </row>
    <row r="18" spans="2:33" x14ac:dyDescent="0.15">
      <c r="B18" s="2" t="str">
        <f>IF($B$17="","","  These parameters are outside")</f>
        <v/>
      </c>
      <c r="C18" s="2">
        <v>20</v>
      </c>
      <c r="D18" s="11">
        <f>IF($C$4=1,Y11,IF($C$4=2,Y20,IF($C$4=3,Y29,#VALUE!)))</f>
        <v>64.370833285612235</v>
      </c>
      <c r="E18" s="11">
        <f>IF($C$4=1,X11,IF($C$4=2,X20,IF($C$4=3,X29,#VALUE!)))</f>
        <v>81.361710125000073</v>
      </c>
      <c r="F18" s="11">
        <f>IF($C$4=1,W11,IF($C$4=2,W20,IF($C$4=3,W29,#VALUE!)))</f>
        <v>97.509062925306466</v>
      </c>
      <c r="G18" s="11">
        <f>IF($C$4=1,V11,IF($C$4=2,V20,IF($C$4=3,V29,#VALUE!)))</f>
        <v>142.99312512283871</v>
      </c>
      <c r="J18" s="2">
        <f>IF($C$4=2,1,0)</f>
        <v>0</v>
      </c>
      <c r="K18" s="1" t="s">
        <v>39</v>
      </c>
      <c r="L18" s="6">
        <v>0.84399999999999997</v>
      </c>
      <c r="M18" s="10">
        <f>L18*$M$14</f>
        <v>160.07910859688258</v>
      </c>
      <c r="N18" s="6">
        <v>0.84099999999999997</v>
      </c>
      <c r="O18" s="10">
        <f>N18*$O$14</f>
        <v>108.47641245444169</v>
      </c>
      <c r="P18" s="6">
        <v>0.83399999999999996</v>
      </c>
      <c r="Q18" s="10">
        <f>P18*$Q$14</f>
        <v>86.146931991114229</v>
      </c>
      <c r="R18" s="6">
        <v>0.82599999999999996</v>
      </c>
      <c r="S18" s="10">
        <f>R18*$S$14</f>
        <v>69.747874349610214</v>
      </c>
      <c r="U18" s="2">
        <f>IF($C$4=2,1,0)</f>
        <v>0</v>
      </c>
      <c r="V18" s="10">
        <f>M18</f>
        <v>160.07910859688258</v>
      </c>
      <c r="W18" s="10">
        <f>O18</f>
        <v>108.47641245444169</v>
      </c>
      <c r="X18" s="10">
        <f>Q18</f>
        <v>86.146931991114229</v>
      </c>
      <c r="Y18" s="10">
        <f>S18</f>
        <v>69.747874349610214</v>
      </c>
      <c r="AA18" s="5" t="s">
        <v>40</v>
      </c>
      <c r="AB18" s="10">
        <v>40</v>
      </c>
      <c r="AC18" s="2">
        <v>400</v>
      </c>
      <c r="AD18" s="9">
        <f>AB18</f>
        <v>40</v>
      </c>
      <c r="AE18" s="9">
        <f>AC18</f>
        <v>400</v>
      </c>
      <c r="AG18" s="1" t="s">
        <v>58</v>
      </c>
    </row>
    <row r="19" spans="2:33" x14ac:dyDescent="0.15">
      <c r="B19" s="2" t="str">
        <f>IF($B$17="","","  the range for reliable results.")</f>
        <v/>
      </c>
      <c r="C19" s="2">
        <v>50</v>
      </c>
      <c r="D19" s="11">
        <f>IF($C$4=1,Y12,IF($C$4=2,Y21,IF($C$4=3,Y30,#VALUE!)))</f>
        <v>43.514683301073873</v>
      </c>
      <c r="E19" s="11">
        <f>IF($C$4=1,X12,IF($C$4=2,X21,IF($C$4=3,X30,#VALUE!)))</f>
        <v>70.459240968250057</v>
      </c>
      <c r="F19" s="11">
        <f>IF($C$4=1,W12,IF($C$4=2,W21,IF($C$4=3,W30,#VALUE!)))</f>
        <v>83.175230675286414</v>
      </c>
      <c r="G19" s="11">
        <f>IF($C$4=1,V12,IF($C$4=2,V21,IF($C$4=3,V30,#VALUE!)))</f>
        <v>121.97313572978142</v>
      </c>
      <c r="J19" s="2">
        <f>IF($C$4=2,1,0)</f>
        <v>0</v>
      </c>
      <c r="K19" s="1" t="s">
        <v>43</v>
      </c>
      <c r="L19" s="6">
        <f>0.566*0.588</f>
        <v>0.33280799999999994</v>
      </c>
      <c r="M19" s="10">
        <f>L19*M18</f>
        <v>53.275607973911285</v>
      </c>
      <c r="N19" s="6">
        <f>0.543*0.542</f>
        <v>0.29430600000000007</v>
      </c>
      <c r="O19" s="10">
        <f>N19*O18</f>
        <v>31.925259043816922</v>
      </c>
      <c r="P19" s="6">
        <f>0.526*0.529</f>
        <v>0.278254</v>
      </c>
      <c r="Q19" s="10">
        <f>P19*Q18</f>
        <v>23.9707284142555</v>
      </c>
      <c r="R19" s="6">
        <f>0.509*0.518</f>
        <v>0.26366200000000001</v>
      </c>
      <c r="S19" s="10">
        <f>R19*S18</f>
        <v>18.389864046766927</v>
      </c>
      <c r="U19" s="2">
        <f>IF($C$4=2,1,0)</f>
        <v>0</v>
      </c>
      <c r="V19" s="10">
        <f>M19</f>
        <v>53.275607973911285</v>
      </c>
      <c r="W19" s="10">
        <f>O19</f>
        <v>31.925259043816922</v>
      </c>
      <c r="X19" s="10">
        <f>Q19</f>
        <v>23.9707284142555</v>
      </c>
      <c r="Y19" s="10">
        <f>S19</f>
        <v>18.389864046766927</v>
      </c>
      <c r="AA19" s="5" t="s">
        <v>44</v>
      </c>
      <c r="AB19" s="10">
        <v>80</v>
      </c>
      <c r="AC19" s="2">
        <v>100</v>
      </c>
      <c r="AD19" s="9">
        <f t="shared" ref="AD19:AE21" si="2">$J$2*AB19/100</f>
        <v>34.159999999999997</v>
      </c>
      <c r="AE19" s="9">
        <f t="shared" si="2"/>
        <v>42.7</v>
      </c>
    </row>
    <row r="20" spans="2:33" x14ac:dyDescent="0.15">
      <c r="C20" s="2" t="str">
        <f>IF(AND((C4=1),NOT((C10&gt;0))),"** Forested Area Not Used in Calc's","")</f>
        <v/>
      </c>
      <c r="J20" s="2">
        <f>IF($C$4=2,1,0)</f>
        <v>0</v>
      </c>
      <c r="K20" s="1" t="s">
        <v>46</v>
      </c>
      <c r="L20" s="6">
        <v>0.39300000000000002</v>
      </c>
      <c r="M20" s="10">
        <f>L20*M19</f>
        <v>20.937313933747134</v>
      </c>
      <c r="N20" s="6">
        <v>0.28699999999999998</v>
      </c>
      <c r="O20" s="10">
        <f>N20*O19</f>
        <v>9.1625493455754565</v>
      </c>
      <c r="P20" s="6">
        <v>0.28000000000000003</v>
      </c>
      <c r="Q20" s="10">
        <f>P20*Q19</f>
        <v>6.7118039559915408</v>
      </c>
      <c r="R20" s="6">
        <v>0.27500000000000002</v>
      </c>
      <c r="S20" s="10">
        <f>R20*S19</f>
        <v>5.0572126128609058</v>
      </c>
      <c r="U20" s="2">
        <f>IF($C$4=2,1,0)</f>
        <v>0</v>
      </c>
      <c r="V20" s="10">
        <f>M20</f>
        <v>20.937313933747134</v>
      </c>
      <c r="W20" s="10">
        <f>O20</f>
        <v>9.1625493455754565</v>
      </c>
      <c r="X20" s="10">
        <f>Q20</f>
        <v>6.7118039559915408</v>
      </c>
      <c r="Y20" s="10">
        <f>S20</f>
        <v>5.0572126128609058</v>
      </c>
      <c r="AA20" s="5" t="s">
        <v>47</v>
      </c>
      <c r="AB20" s="10">
        <v>0</v>
      </c>
      <c r="AC20" s="2">
        <v>5</v>
      </c>
      <c r="AD20" s="9">
        <f t="shared" si="2"/>
        <v>0</v>
      </c>
      <c r="AE20" s="9">
        <f t="shared" si="2"/>
        <v>2.1349999999999998</v>
      </c>
    </row>
    <row r="21" spans="2:33" x14ac:dyDescent="0.15">
      <c r="J21" s="2">
        <f>IF($C$4=2,1,0)</f>
        <v>0</v>
      </c>
      <c r="K21" s="1" t="s">
        <v>48</v>
      </c>
      <c r="L21" s="6">
        <v>0.60199999999999998</v>
      </c>
      <c r="M21" s="10">
        <f>L21*M20</f>
        <v>12.604262988115774</v>
      </c>
      <c r="N21" s="6">
        <v>0.69499999999999995</v>
      </c>
      <c r="O21" s="10">
        <f>N21*O20</f>
        <v>6.3679717951749417</v>
      </c>
      <c r="P21" s="6">
        <v>0.69399999999999995</v>
      </c>
      <c r="Q21" s="10">
        <f>P21*Q20</f>
        <v>4.6579919454581287</v>
      </c>
      <c r="R21" s="6">
        <v>0.67</v>
      </c>
      <c r="S21" s="10">
        <f>R21*S20</f>
        <v>3.3883324506168071</v>
      </c>
      <c r="U21" s="2">
        <f>IF($C$4=2,1,0)</f>
        <v>0</v>
      </c>
      <c r="V21" s="10">
        <f>M21</f>
        <v>12.604262988115774</v>
      </c>
      <c r="W21" s="10">
        <f>O21</f>
        <v>6.3679717951749417</v>
      </c>
      <c r="X21" s="10">
        <f>Q21</f>
        <v>4.6579919454581287</v>
      </c>
      <c r="Y21" s="10">
        <f>S21</f>
        <v>3.3883324506168071</v>
      </c>
      <c r="AA21" s="5" t="s">
        <v>49</v>
      </c>
      <c r="AB21" s="10">
        <v>15</v>
      </c>
      <c r="AC21" s="2">
        <v>25</v>
      </c>
      <c r="AD21" s="9">
        <f t="shared" si="2"/>
        <v>6.4050000000000002</v>
      </c>
      <c r="AE21" s="9">
        <f t="shared" si="2"/>
        <v>10.675000000000001</v>
      </c>
    </row>
    <row r="22" spans="2:33" x14ac:dyDescent="0.15">
      <c r="J22" s="7" t="s">
        <v>50</v>
      </c>
      <c r="K22" s="7" t="s">
        <v>50</v>
      </c>
      <c r="L22" s="7" t="s">
        <v>50</v>
      </c>
      <c r="M22" s="7" t="s">
        <v>50</v>
      </c>
      <c r="N22" s="7" t="s">
        <v>50</v>
      </c>
      <c r="O22" s="7" t="s">
        <v>50</v>
      </c>
      <c r="P22" s="7" t="s">
        <v>50</v>
      </c>
      <c r="Q22" s="7" t="s">
        <v>50</v>
      </c>
      <c r="R22" s="7" t="s">
        <v>50</v>
      </c>
      <c r="S22" s="7" t="s">
        <v>50</v>
      </c>
      <c r="AD22" s="9"/>
      <c r="AE22" s="9"/>
    </row>
    <row r="23" spans="2:33" x14ac:dyDescent="0.15">
      <c r="K23" s="1" t="s">
        <v>59</v>
      </c>
      <c r="L23" s="2" t="str">
        <f>L25&amp;"="</f>
        <v>BETA_30=</v>
      </c>
      <c r="M23" s="2">
        <f>$J$2^1.383</f>
        <v>179.83811887967894</v>
      </c>
      <c r="N23" s="2" t="str">
        <f>N25&amp;"="</f>
        <v>BETA_15=</v>
      </c>
      <c r="O23" s="2">
        <f>0.7362*M23^1.009</f>
        <v>138.73035577558488</v>
      </c>
      <c r="P23" s="2" t="str">
        <f>P25&amp;"="</f>
        <v>BETA_7=</v>
      </c>
      <c r="Q23" s="2">
        <f>0.5848*M23^1.023</f>
        <v>118.50901689148338</v>
      </c>
      <c r="R23" s="2" t="str">
        <f>R25&amp;"="</f>
        <v>BETA_1=</v>
      </c>
      <c r="S23" s="2">
        <f>0.4864*M23^1.034</f>
        <v>104.36173653489486</v>
      </c>
      <c r="AD23" s="9"/>
      <c r="AE23" s="9"/>
    </row>
    <row r="24" spans="2:33" x14ac:dyDescent="0.15">
      <c r="J24" s="7" t="s">
        <v>17</v>
      </c>
      <c r="K24" s="7" t="s">
        <v>17</v>
      </c>
      <c r="L24" s="7" t="s">
        <v>17</v>
      </c>
      <c r="M24" s="7" t="s">
        <v>17</v>
      </c>
      <c r="N24" s="7" t="s">
        <v>17</v>
      </c>
      <c r="O24" s="7" t="s">
        <v>17</v>
      </c>
      <c r="P24" s="7" t="s">
        <v>17</v>
      </c>
      <c r="Q24" s="7" t="s">
        <v>17</v>
      </c>
      <c r="R24" s="7" t="s">
        <v>17</v>
      </c>
      <c r="S24" s="7" t="s">
        <v>17</v>
      </c>
      <c r="AD24" s="9"/>
      <c r="AE24" s="9"/>
    </row>
    <row r="25" spans="2:33" x14ac:dyDescent="0.15">
      <c r="B25" s="10"/>
      <c r="K25" s="8" t="s">
        <v>21</v>
      </c>
      <c r="L25" s="1" t="s">
        <v>22</v>
      </c>
      <c r="M25" s="1" t="s">
        <v>23</v>
      </c>
      <c r="N25" s="1" t="s">
        <v>24</v>
      </c>
      <c r="O25" s="1" t="s">
        <v>25</v>
      </c>
      <c r="P25" s="12" t="s">
        <v>26</v>
      </c>
      <c r="Q25" s="1" t="s">
        <v>27</v>
      </c>
      <c r="R25" s="12" t="s">
        <v>28</v>
      </c>
      <c r="S25" s="1" t="s">
        <v>29</v>
      </c>
      <c r="AD25" s="9"/>
      <c r="AE25" s="9"/>
    </row>
    <row r="26" spans="2:33" x14ac:dyDescent="0.15">
      <c r="B26" s="10"/>
      <c r="K26" s="8" t="s">
        <v>34</v>
      </c>
      <c r="L26" s="1" t="s">
        <v>35</v>
      </c>
      <c r="M26" s="8" t="s">
        <v>36</v>
      </c>
      <c r="N26" s="1" t="s">
        <v>35</v>
      </c>
      <c r="O26" s="8" t="s">
        <v>36</v>
      </c>
      <c r="P26" s="12" t="s">
        <v>35</v>
      </c>
      <c r="Q26" s="8" t="s">
        <v>36</v>
      </c>
      <c r="R26" s="12" t="s">
        <v>35</v>
      </c>
      <c r="S26" s="8" t="s">
        <v>36</v>
      </c>
      <c r="AD26" s="9"/>
      <c r="AE26" s="9"/>
    </row>
    <row r="27" spans="2:33" x14ac:dyDescent="0.15">
      <c r="B27" s="10"/>
      <c r="C27" s="10"/>
      <c r="D27" s="10"/>
      <c r="E27" s="10"/>
      <c r="J27" s="2">
        <f>IF($C$4=3,1,0)</f>
        <v>0</v>
      </c>
      <c r="K27" s="1" t="s">
        <v>39</v>
      </c>
      <c r="L27" s="6">
        <v>0.85899999999999999</v>
      </c>
      <c r="M27" s="10">
        <f>L27*$M$23</f>
        <v>154.48094411764421</v>
      </c>
      <c r="N27" s="6">
        <v>0.87</v>
      </c>
      <c r="O27" s="10">
        <f>N27*$O$23</f>
        <v>120.69540952475884</v>
      </c>
      <c r="P27" s="6">
        <v>0.879</v>
      </c>
      <c r="Q27" s="10">
        <f>P27*$Q$23</f>
        <v>104.16942584761389</v>
      </c>
      <c r="R27" s="6">
        <v>0.88</v>
      </c>
      <c r="S27" s="10">
        <f>R27*$S$23</f>
        <v>91.838328150707483</v>
      </c>
      <c r="U27" s="2">
        <f>IF($C$4=3,1,0)</f>
        <v>0</v>
      </c>
      <c r="V27" s="10">
        <f>M27</f>
        <v>154.48094411764421</v>
      </c>
      <c r="W27" s="10">
        <f>O27</f>
        <v>120.69540952475884</v>
      </c>
      <c r="X27" s="10">
        <f>Q27</f>
        <v>104.16942584761389</v>
      </c>
      <c r="Y27" s="10">
        <f>S27</f>
        <v>91.838328150707483</v>
      </c>
      <c r="AA27" s="5" t="s">
        <v>40</v>
      </c>
      <c r="AB27" s="10">
        <v>240</v>
      </c>
      <c r="AC27" s="2">
        <v>600</v>
      </c>
      <c r="AD27" s="9">
        <f>AB27</f>
        <v>240</v>
      </c>
      <c r="AE27" s="9">
        <f>AC27</f>
        <v>600</v>
      </c>
    </row>
    <row r="28" spans="2:33" x14ac:dyDescent="0.15">
      <c r="B28" s="10"/>
      <c r="C28" s="10"/>
      <c r="D28" s="10"/>
      <c r="E28" s="10"/>
      <c r="J28" s="2">
        <f>IF($C$4=3,1,0)</f>
        <v>0</v>
      </c>
      <c r="K28" s="1" t="s">
        <v>43</v>
      </c>
      <c r="L28" s="6">
        <f>0.701*0.862</f>
        <v>0.60426199999999997</v>
      </c>
      <c r="M28" s="10">
        <f>L28*M27</f>
        <v>93.346964254415923</v>
      </c>
      <c r="N28" s="6">
        <f>0.712*0.858</f>
        <v>0.61089599999999999</v>
      </c>
      <c r="O28" s="10">
        <f>N28*O27</f>
        <v>73.732342897037071</v>
      </c>
      <c r="P28" s="6">
        <f>0.715*0.847</f>
        <v>0.60560499999999995</v>
      </c>
      <c r="Q28" s="10">
        <f>P28*Q27</f>
        <v>63.085525140444204</v>
      </c>
      <c r="R28" s="6">
        <f>0.708*0.831</f>
        <v>0.58834799999999998</v>
      </c>
      <c r="S28" s="10">
        <f>R28*S27</f>
        <v>54.032896690812443</v>
      </c>
      <c r="U28" s="2">
        <f>IF($C$4=3,1,0)</f>
        <v>0</v>
      </c>
      <c r="V28" s="10">
        <f>M28</f>
        <v>93.346964254415923</v>
      </c>
      <c r="W28" s="10">
        <f>O28</f>
        <v>73.732342897037071</v>
      </c>
      <c r="X28" s="10">
        <f>Q28</f>
        <v>63.085525140444204</v>
      </c>
      <c r="Y28" s="10">
        <f>S28</f>
        <v>54.032896690812443</v>
      </c>
      <c r="AA28" s="5" t="s">
        <v>44</v>
      </c>
      <c r="AB28" s="10">
        <v>40</v>
      </c>
      <c r="AC28" s="2">
        <v>65</v>
      </c>
      <c r="AD28" s="9">
        <f t="shared" ref="AD28:AE30" si="3">$J$2*AB28/100</f>
        <v>17.079999999999998</v>
      </c>
      <c r="AE28" s="9">
        <f t="shared" si="3"/>
        <v>27.754999999999999</v>
      </c>
    </row>
    <row r="29" spans="2:33" x14ac:dyDescent="0.15">
      <c r="J29" s="2">
        <f>IF($C$4=3,1,0)</f>
        <v>0</v>
      </c>
      <c r="K29" s="1" t="s">
        <v>46</v>
      </c>
      <c r="L29" s="6">
        <v>0.91</v>
      </c>
      <c r="M29" s="10">
        <f>L29*M28</f>
        <v>84.945737471518498</v>
      </c>
      <c r="N29" s="6">
        <v>0.90200000000000002</v>
      </c>
      <c r="O29" s="10">
        <f>N29*O28</f>
        <v>66.506573293127445</v>
      </c>
      <c r="P29" s="6">
        <v>0.88600000000000001</v>
      </c>
      <c r="Q29" s="10">
        <f>P29*Q28</f>
        <v>55.893775274433565</v>
      </c>
      <c r="R29" s="6">
        <v>0.86599999999999999</v>
      </c>
      <c r="S29" s="10">
        <f>R29*S28</f>
        <v>46.792488534243574</v>
      </c>
      <c r="U29" s="2">
        <f>IF($C$4=3,1,0)</f>
        <v>0</v>
      </c>
      <c r="V29" s="10">
        <f>M29</f>
        <v>84.945737471518498</v>
      </c>
      <c r="W29" s="10">
        <f>O29</f>
        <v>66.506573293127445</v>
      </c>
      <c r="X29" s="10">
        <f>Q29</f>
        <v>55.893775274433565</v>
      </c>
      <c r="Y29" s="10">
        <f>S29</f>
        <v>46.792488534243574</v>
      </c>
      <c r="AA29" s="5" t="s">
        <v>47</v>
      </c>
      <c r="AB29" s="10">
        <v>10</v>
      </c>
      <c r="AC29" s="2">
        <v>40</v>
      </c>
      <c r="AD29" s="9">
        <f t="shared" si="3"/>
        <v>4.2699999999999996</v>
      </c>
      <c r="AE29" s="9">
        <f t="shared" si="3"/>
        <v>17.079999999999998</v>
      </c>
    </row>
    <row r="30" spans="2:33" x14ac:dyDescent="0.15">
      <c r="B30" s="10"/>
      <c r="C30" s="10"/>
      <c r="D30" s="10"/>
      <c r="E30" s="10"/>
      <c r="J30" s="2">
        <f>IF($C$4=3,1,0)</f>
        <v>0</v>
      </c>
      <c r="K30" s="1" t="s">
        <v>48</v>
      </c>
      <c r="L30" s="6">
        <v>0.92900000000000005</v>
      </c>
      <c r="M30" s="10">
        <f>L30*M29</f>
        <v>78.914590111040695</v>
      </c>
      <c r="N30" s="6">
        <v>0.91700000000000004</v>
      </c>
      <c r="O30" s="10">
        <f>N30*O29</f>
        <v>60.986527709797869</v>
      </c>
      <c r="P30" s="6">
        <v>0.89400000000000002</v>
      </c>
      <c r="Q30" s="10">
        <f>P30*Q29</f>
        <v>49.969035095343607</v>
      </c>
      <c r="R30" s="6">
        <v>0.86699999999999999</v>
      </c>
      <c r="S30" s="10">
        <f>R30*S29</f>
        <v>40.569087559189178</v>
      </c>
      <c r="U30" s="2">
        <f>IF($C$4=3,1,0)</f>
        <v>0</v>
      </c>
      <c r="V30" s="10">
        <f>M30</f>
        <v>78.914590111040695</v>
      </c>
      <c r="W30" s="10">
        <f>O30</f>
        <v>60.986527709797869</v>
      </c>
      <c r="X30" s="10">
        <f>Q30</f>
        <v>49.969035095343607</v>
      </c>
      <c r="Y30" s="10">
        <f>S30</f>
        <v>40.569087559189178</v>
      </c>
      <c r="AA30" s="5" t="s">
        <v>49</v>
      </c>
      <c r="AB30" s="10">
        <v>10</v>
      </c>
      <c r="AC30" s="2">
        <v>20</v>
      </c>
      <c r="AD30" s="9">
        <f t="shared" si="3"/>
        <v>4.2699999999999996</v>
      </c>
      <c r="AE30" s="9">
        <f t="shared" si="3"/>
        <v>8.5399999999999991</v>
      </c>
    </row>
    <row r="31" spans="2:33" x14ac:dyDescent="0.15">
      <c r="B31" s="10"/>
      <c r="C31" s="10"/>
      <c r="D31" s="10"/>
      <c r="E31" s="10"/>
      <c r="J31" s="7" t="s">
        <v>50</v>
      </c>
      <c r="K31" s="7" t="s">
        <v>50</v>
      </c>
      <c r="L31" s="7" t="s">
        <v>50</v>
      </c>
      <c r="M31" s="7" t="s">
        <v>50</v>
      </c>
      <c r="N31" s="7" t="s">
        <v>50</v>
      </c>
      <c r="O31" s="7" t="s">
        <v>50</v>
      </c>
      <c r="P31" s="7" t="s">
        <v>50</v>
      </c>
      <c r="Q31" s="7" t="s">
        <v>50</v>
      </c>
      <c r="R31" s="7" t="s">
        <v>50</v>
      </c>
      <c r="S31" s="7" t="s">
        <v>50</v>
      </c>
    </row>
    <row r="32" spans="2:33" x14ac:dyDescent="0.15">
      <c r="B32" s="10"/>
      <c r="C32" s="10"/>
      <c r="D32" s="10"/>
      <c r="E32" s="10"/>
      <c r="J32" s="7" t="s">
        <v>50</v>
      </c>
      <c r="K32" s="7" t="s">
        <v>50</v>
      </c>
      <c r="L32" s="7" t="s">
        <v>50</v>
      </c>
      <c r="M32" s="7" t="s">
        <v>50</v>
      </c>
      <c r="N32" s="7" t="s">
        <v>50</v>
      </c>
      <c r="O32" s="7" t="s">
        <v>50</v>
      </c>
      <c r="P32" s="7" t="s">
        <v>50</v>
      </c>
      <c r="Q32" s="7" t="s">
        <v>50</v>
      </c>
      <c r="R32" s="7" t="s">
        <v>50</v>
      </c>
      <c r="S32" s="7" t="s">
        <v>50</v>
      </c>
    </row>
  </sheetData>
  <sheetProtection sheet="1" objects="1" scenarios="1"/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24</vt:i4>
      </vt:variant>
    </vt:vector>
  </HeadingPairs>
  <TitlesOfParts>
    <vt:vector size="25" baseType="lpstr">
      <vt:lpstr>LFFE-91</vt:lpstr>
      <vt:lpstr>\0</vt:lpstr>
      <vt:lpstr>\a</vt:lpstr>
      <vt:lpstr>\p</vt:lpstr>
      <vt:lpstr>ALS</vt:lpstr>
      <vt:lpstr>B15A</vt:lpstr>
      <vt:lpstr>B15B</vt:lpstr>
      <vt:lpstr>B15C</vt:lpstr>
      <vt:lpstr>B1A</vt:lpstr>
      <vt:lpstr>B1B</vt:lpstr>
      <vt:lpstr>B1C</vt:lpstr>
      <vt:lpstr>B30A</vt:lpstr>
      <vt:lpstr>B30B</vt:lpstr>
      <vt:lpstr>B30C</vt:lpstr>
      <vt:lpstr>B7A</vt:lpstr>
      <vt:lpstr>B7B</vt:lpstr>
      <vt:lpstr>B7C</vt:lpstr>
      <vt:lpstr>BAR</vt:lpstr>
      <vt:lpstr>DA</vt:lpstr>
      <vt:lpstr>FAR</vt:lpstr>
      <vt:lpstr>LOC</vt:lpstr>
      <vt:lpstr>OUTPUT</vt:lpstr>
      <vt:lpstr>'LFFE-91'!Print_Area</vt:lpstr>
      <vt:lpstr>'LFFE-91'!Print_Area_MI</vt:lpstr>
      <vt:lpstr>RANGE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George, Natasha</dc:creator>
  <cp:lastModifiedBy>George, Natasha</cp:lastModifiedBy>
  <dcterms:created xsi:type="dcterms:W3CDTF">2005-11-14T13:23:24Z</dcterms:created>
  <dcterms:modified xsi:type="dcterms:W3CDTF">2020-02-03T15:35:12Z</dcterms:modified>
</cp:coreProperties>
</file>